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tables/table1.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drawings/drawing20.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results\07-2025 - post CBO provisions\input_data\"/>
    </mc:Choice>
  </mc:AlternateContent>
  <xr:revisionPtr revIDLastSave="0" documentId="13_ncr:1_{C0730891-2B2C-4F78-A3E7-E694BC7AFF33}" xr6:coauthVersionLast="47" xr6:coauthVersionMax="47" xr10:uidLastSave="{00000000-0000-0000-0000-000000000000}"/>
  <bookViews>
    <workbookView xWindow="28680" yWindow="-120" windowWidth="29040" windowHeight="15720" firstSheet="9" activeTab="9" xr2:uid="{00000000-000D-0000-FFFF-FFFF00000000}"/>
  </bookViews>
  <sheets>
    <sheet name="Medicaid (2)" sheetId="81" r:id="rId1"/>
    <sheet name="Guide to the FIM Spreadsheet" sheetId="54" r:id="rId2"/>
    <sheet name="Checklist (New Quarter Release)" sheetId="53" r:id="rId3"/>
    <sheet name="Checklist (Monthly Revision)" sheetId="51" r:id="rId4"/>
    <sheet name="Revisions" sheetId="46" r:id="rId5"/>
    <sheet name="Checklist (CBO Budget Release)" sheetId="19" r:id="rId6"/>
    <sheet name="Haver Pivoted" sheetId="24" r:id="rId7"/>
    <sheet name="historical overrides" sheetId="50" r:id="rId8"/>
    <sheet name="deflators_override" sheetId="71" r:id="rId9"/>
    <sheet name="forecast comparison" sheetId="55" r:id="rId10"/>
    <sheet name="MPI" sheetId="80" r:id="rId11"/>
    <sheet name="forecast" sheetId="35"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59" r:id="rId22"/>
    <sheet name="Supply Side IRA" sheetId="78" r:id="rId23"/>
    <sheet name="Taxes" sheetId="48" r:id="rId24"/>
    <sheet name="Deflators" sheetId="70" r:id="rId25"/>
    <sheet name="Social Benefits (BETA VERSION)" sheetId="75" r:id="rId26"/>
    <sheet name="Social Benefits (EXPLANATION)" sheetId="77" r:id="rId27"/>
    <sheet name="PPP (expired)" sheetId="38" r:id="rId28"/>
    <sheet name="Provider Relief (expired)" sheetId="40" r:id="rId29"/>
    <sheet name="Rebate Checks (expired)" sheetId="29" r:id="rId30"/>
    <sheet name="Cares Act Scores" sheetId="36" r:id="rId31"/>
    <sheet name="IRA and CHIPS" sheetId="65" r:id="rId32"/>
    <sheet name="Response and Relief Act Score" sheetId="27" r:id="rId33"/>
    <sheet name="ARP Score" sheetId="5" r:id="rId34"/>
    <sheet name="ARP Timing" sheetId="6" r:id="rId35"/>
    <sheet name="ARP Quarterly" sheetId="21" r:id="rId36"/>
    <sheet name="Deflators_original" sheetId="63" state="hidden" r:id="rId37"/>
  </sheets>
  <externalReferences>
    <externalReference r:id="rId38"/>
  </externalReferences>
  <calcPr calcId="191029"/>
  <pivotCaches>
    <pivotCache cacheId="0" r:id="rId3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1" i="67" l="1"/>
  <c r="AC11" i="67"/>
  <c r="AD11" i="67"/>
  <c r="AE11" i="67"/>
  <c r="AF11" i="67"/>
  <c r="AG11" i="67"/>
  <c r="AH11" i="67"/>
  <c r="AI11" i="67"/>
  <c r="AJ11" i="67"/>
  <c r="AA11" i="67"/>
  <c r="AE9" i="20" l="1"/>
  <c r="AD10" i="20"/>
  <c r="AE18" i="48"/>
  <c r="AE10" i="48"/>
  <c r="M58" i="48"/>
  <c r="AF10" i="48"/>
  <c r="AE17" i="48"/>
  <c r="AN50" i="59"/>
  <c r="AI9" i="20"/>
  <c r="M66" i="48"/>
  <c r="N66" i="48"/>
  <c r="O66" i="48"/>
  <c r="P66" i="48"/>
  <c r="Q66" i="48"/>
  <c r="L66" i="48"/>
  <c r="N58" i="48"/>
  <c r="O58" i="48"/>
  <c r="P58" i="48"/>
  <c r="Q58" i="48"/>
  <c r="L58" i="48"/>
  <c r="AD10" i="48"/>
  <c r="AG18" i="48" l="1"/>
  <c r="AK18" i="48" s="1"/>
  <c r="H17" i="49" l="1"/>
  <c r="I17" i="49"/>
  <c r="J17" i="49"/>
  <c r="K17" i="49"/>
  <c r="L17" i="49"/>
  <c r="M17" i="49"/>
  <c r="N17" i="49"/>
  <c r="O17" i="49"/>
  <c r="P17" i="49"/>
  <c r="Q17" i="49"/>
  <c r="D10" i="49"/>
  <c r="D30" i="49" s="1"/>
  <c r="E10" i="49"/>
  <c r="E30" i="49" s="1"/>
  <c r="F10" i="49"/>
  <c r="F30" i="49" s="1"/>
  <c r="G10" i="49"/>
  <c r="G30" i="49" s="1"/>
  <c r="H10" i="49"/>
  <c r="H30" i="49" s="1"/>
  <c r="I10" i="49"/>
  <c r="I30" i="49" s="1"/>
  <c r="J10" i="49"/>
  <c r="J30" i="49" s="1"/>
  <c r="K10" i="49"/>
  <c r="K30" i="49" s="1"/>
  <c r="L10" i="49"/>
  <c r="M10" i="49"/>
  <c r="M30" i="49" s="1"/>
  <c r="N10" i="49"/>
  <c r="N30" i="49" s="1"/>
  <c r="O10" i="49"/>
  <c r="P10" i="49"/>
  <c r="P30" i="49" s="1"/>
  <c r="Q10" i="49"/>
  <c r="Q30" i="49" s="1"/>
  <c r="R10" i="49"/>
  <c r="R30" i="49" s="1"/>
  <c r="S10" i="49"/>
  <c r="S30" i="49" s="1"/>
  <c r="T10" i="49"/>
  <c r="U10" i="49"/>
  <c r="U30" i="49" s="1"/>
  <c r="V10" i="49"/>
  <c r="V30" i="49" s="1"/>
  <c r="W10" i="49"/>
  <c r="W30" i="49" s="1"/>
  <c r="X10" i="49"/>
  <c r="X30" i="49" s="1"/>
  <c r="Y10" i="49"/>
  <c r="Y30" i="49" s="1"/>
  <c r="Z10" i="49"/>
  <c r="Z30" i="49" s="1"/>
  <c r="AA10" i="49"/>
  <c r="AA30" i="49" s="1"/>
  <c r="AB10" i="49"/>
  <c r="AB30" i="49" s="1"/>
  <c r="AC10" i="49"/>
  <c r="D11" i="49"/>
  <c r="E11" i="49"/>
  <c r="F11" i="49"/>
  <c r="G11" i="49"/>
  <c r="H11" i="49"/>
  <c r="I11" i="49"/>
  <c r="J11" i="49"/>
  <c r="K11" i="49"/>
  <c r="L11" i="49"/>
  <c r="M11" i="49"/>
  <c r="N11" i="49"/>
  <c r="O11" i="49"/>
  <c r="P11" i="49"/>
  <c r="Q11" i="49"/>
  <c r="R11" i="49"/>
  <c r="S11" i="49"/>
  <c r="T11" i="49"/>
  <c r="U11" i="49"/>
  <c r="V11" i="49"/>
  <c r="W11" i="49"/>
  <c r="X11" i="49"/>
  <c r="Y11" i="49"/>
  <c r="Z11" i="49"/>
  <c r="AA11" i="49"/>
  <c r="AA13" i="49" s="1"/>
  <c r="AB11" i="49"/>
  <c r="AC11" i="49"/>
  <c r="L51" i="81"/>
  <c r="K51" i="81"/>
  <c r="J51" i="81"/>
  <c r="P50" i="81"/>
  <c r="O50" i="81"/>
  <c r="N50" i="81"/>
  <c r="M50" i="81"/>
  <c r="L50" i="81"/>
  <c r="K50" i="81"/>
  <c r="J50" i="81"/>
  <c r="I50" i="81"/>
  <c r="H50" i="81"/>
  <c r="G50" i="81"/>
  <c r="F50" i="81"/>
  <c r="P49" i="81"/>
  <c r="O49" i="81"/>
  <c r="N49" i="81"/>
  <c r="M49" i="81"/>
  <c r="L49" i="81"/>
  <c r="K49" i="81"/>
  <c r="J49" i="81"/>
  <c r="I49" i="81"/>
  <c r="H49" i="81"/>
  <c r="G49" i="81"/>
  <c r="F49" i="81"/>
  <c r="K19" i="81"/>
  <c r="AC11" i="81"/>
  <c r="AB11" i="81"/>
  <c r="AA11" i="81"/>
  <c r="AA12" i="81" s="1"/>
  <c r="Z11" i="81"/>
  <c r="Y11" i="81"/>
  <c r="X11" i="81"/>
  <c r="W11" i="81"/>
  <c r="V11" i="81"/>
  <c r="U11" i="81"/>
  <c r="T11" i="81"/>
  <c r="S11" i="81"/>
  <c r="R11" i="81"/>
  <c r="Q11" i="81"/>
  <c r="P11" i="81"/>
  <c r="O11" i="81"/>
  <c r="N11" i="81"/>
  <c r="M11" i="81"/>
  <c r="M12" i="81" s="1"/>
  <c r="M29" i="81" s="1"/>
  <c r="L11" i="81"/>
  <c r="K11" i="81"/>
  <c r="J11" i="81"/>
  <c r="I11" i="81"/>
  <c r="H11" i="81"/>
  <c r="G11" i="81"/>
  <c r="F11" i="81"/>
  <c r="E11" i="81"/>
  <c r="D11" i="81"/>
  <c r="AC10" i="81"/>
  <c r="AC27" i="81" s="1"/>
  <c r="AB10" i="81"/>
  <c r="AB27" i="81" s="1"/>
  <c r="AA10" i="81"/>
  <c r="AA27" i="81" s="1"/>
  <c r="Z10" i="81"/>
  <c r="Z27" i="81" s="1"/>
  <c r="Y10" i="81"/>
  <c r="Y27" i="81" s="1"/>
  <c r="X10" i="81"/>
  <c r="X27" i="81" s="1"/>
  <c r="W10" i="81"/>
  <c r="W27" i="81" s="1"/>
  <c r="V10" i="81"/>
  <c r="V27" i="81" s="1"/>
  <c r="U10" i="81"/>
  <c r="U27" i="81" s="1"/>
  <c r="T10" i="81"/>
  <c r="T27" i="81" s="1"/>
  <c r="S10" i="81"/>
  <c r="S27" i="81" s="1"/>
  <c r="R10" i="81"/>
  <c r="R27" i="81" s="1"/>
  <c r="Q10" i="81"/>
  <c r="Q27" i="81" s="1"/>
  <c r="P10" i="81"/>
  <c r="P27" i="81" s="1"/>
  <c r="O10" i="81"/>
  <c r="O27" i="81" s="1"/>
  <c r="N10" i="81"/>
  <c r="N27" i="81" s="1"/>
  <c r="M10" i="81"/>
  <c r="M27" i="81" s="1"/>
  <c r="L10" i="81"/>
  <c r="L27" i="81" s="1"/>
  <c r="K10" i="81"/>
  <c r="K27" i="81" s="1"/>
  <c r="J10" i="81"/>
  <c r="J27" i="81" s="1"/>
  <c r="I10" i="81"/>
  <c r="I27" i="81" s="1"/>
  <c r="H10" i="81"/>
  <c r="G10" i="81"/>
  <c r="F10" i="81"/>
  <c r="E10" i="81"/>
  <c r="E27" i="81" s="1"/>
  <c r="D10" i="81"/>
  <c r="D27" i="81" s="1"/>
  <c r="Y12" i="81" l="1"/>
  <c r="K12" i="81"/>
  <c r="K29" i="81" s="1"/>
  <c r="L12" i="81"/>
  <c r="Z12" i="81"/>
  <c r="N12" i="81"/>
  <c r="AB12" i="81"/>
  <c r="AB29" i="81" s="1"/>
  <c r="AB30" i="81" s="1"/>
  <c r="G12" i="81"/>
  <c r="J12" i="81"/>
  <c r="J29" i="81" s="1"/>
  <c r="V12" i="81"/>
  <c r="H12" i="81"/>
  <c r="P13" i="49"/>
  <c r="L29" i="81"/>
  <c r="L30" i="81" s="1"/>
  <c r="M13" i="49"/>
  <c r="Q12" i="81"/>
  <c r="Q29" i="81" s="1"/>
  <c r="Q30" i="81" s="1"/>
  <c r="D12" i="81"/>
  <c r="D29" i="81" s="1"/>
  <c r="D30" i="81" s="1"/>
  <c r="R12" i="81"/>
  <c r="R29" i="81" s="1"/>
  <c r="R30" i="81" s="1"/>
  <c r="S12" i="81"/>
  <c r="S29" i="81" s="1"/>
  <c r="S30" i="81" s="1"/>
  <c r="E12" i="81"/>
  <c r="E29" i="81" s="1"/>
  <c r="E30" i="81" s="1"/>
  <c r="F12" i="81"/>
  <c r="F29" i="81" s="1"/>
  <c r="T12" i="81"/>
  <c r="T29" i="81" s="1"/>
  <c r="T30" i="81" s="1"/>
  <c r="U12" i="81"/>
  <c r="U29" i="81" s="1"/>
  <c r="U30" i="81" s="1"/>
  <c r="X12" i="81"/>
  <c r="G18" i="81" s="1"/>
  <c r="G19" i="81" s="1"/>
  <c r="I12" i="81"/>
  <c r="I29" i="81" s="1"/>
  <c r="I30" i="81" s="1"/>
  <c r="W12" i="81"/>
  <c r="W29" i="81" s="1"/>
  <c r="W30" i="81" s="1"/>
  <c r="H29" i="81"/>
  <c r="T13" i="49"/>
  <c r="F13" i="49"/>
  <c r="S13" i="49"/>
  <c r="E13" i="49"/>
  <c r="M30" i="81"/>
  <c r="O12" i="81"/>
  <c r="O29" i="81" s="1"/>
  <c r="O30" i="81" s="1"/>
  <c r="AC12" i="81"/>
  <c r="AC29" i="81" s="1"/>
  <c r="AC30" i="81" s="1"/>
  <c r="P12" i="81"/>
  <c r="AB13" i="49"/>
  <c r="N13" i="49"/>
  <c r="R13" i="49"/>
  <c r="Q13" i="49"/>
  <c r="O13" i="49"/>
  <c r="M12" i="49"/>
  <c r="M32" i="49" s="1"/>
  <c r="M33" i="49" s="1"/>
  <c r="D13" i="49"/>
  <c r="AC13" i="49"/>
  <c r="X12" i="49"/>
  <c r="X32" i="49" s="1"/>
  <c r="X33" i="49" s="1"/>
  <c r="J12" i="49"/>
  <c r="J32" i="49" s="1"/>
  <c r="J33" i="49" s="1"/>
  <c r="Z13" i="49"/>
  <c r="Y13" i="49"/>
  <c r="W13" i="49"/>
  <c r="N12" i="49"/>
  <c r="N32" i="49" s="1"/>
  <c r="N33" i="49" s="1"/>
  <c r="V13" i="49"/>
  <c r="H13" i="49"/>
  <c r="T12" i="49"/>
  <c r="L13" i="49"/>
  <c r="K12" i="49"/>
  <c r="K32" i="49" s="1"/>
  <c r="K33" i="49" s="1"/>
  <c r="AB12" i="49"/>
  <c r="AA12" i="49"/>
  <c r="Z12" i="49"/>
  <c r="Z32" i="49" s="1"/>
  <c r="Z33" i="49" s="1"/>
  <c r="L30" i="49"/>
  <c r="L12" i="49"/>
  <c r="L32" i="49" s="1"/>
  <c r="P12" i="49"/>
  <c r="P32" i="49" s="1"/>
  <c r="P33" i="49" s="1"/>
  <c r="I12" i="49"/>
  <c r="I32" i="49" s="1"/>
  <c r="I33" i="49" s="1"/>
  <c r="Y12" i="49"/>
  <c r="U12" i="49"/>
  <c r="G12" i="49"/>
  <c r="G32" i="49" s="1"/>
  <c r="G33" i="49" s="1"/>
  <c r="K13" i="49"/>
  <c r="X13" i="49"/>
  <c r="J13" i="49"/>
  <c r="I13" i="49"/>
  <c r="U13" i="49"/>
  <c r="G13" i="49"/>
  <c r="V12" i="49"/>
  <c r="V32" i="49" s="1"/>
  <c r="V33" i="49" s="1"/>
  <c r="W12" i="49"/>
  <c r="W32" i="49" s="1"/>
  <c r="W33" i="49" s="1"/>
  <c r="H12" i="49"/>
  <c r="AC12" i="49"/>
  <c r="O12" i="49"/>
  <c r="O32" i="49" s="1"/>
  <c r="F12" i="49"/>
  <c r="F32" i="49" s="1"/>
  <c r="F33" i="49" s="1"/>
  <c r="T30" i="49"/>
  <c r="AC30" i="49"/>
  <c r="O30" i="49"/>
  <c r="R12" i="49"/>
  <c r="R32" i="49" s="1"/>
  <c r="R33" i="49" s="1"/>
  <c r="D12" i="49"/>
  <c r="D32" i="49" s="1"/>
  <c r="D33" i="49" s="1"/>
  <c r="Q12" i="49"/>
  <c r="Q32" i="49" s="1"/>
  <c r="Q33" i="49" s="1"/>
  <c r="E12" i="49"/>
  <c r="E32" i="49" s="1"/>
  <c r="E33" i="49" s="1"/>
  <c r="S12" i="49"/>
  <c r="S32" i="49" s="1"/>
  <c r="S33" i="49" s="1"/>
  <c r="K22" i="49"/>
  <c r="F51" i="81"/>
  <c r="G51" i="81" s="1"/>
  <c r="H51" i="81" s="1"/>
  <c r="I51" i="81" s="1"/>
  <c r="G29" i="81"/>
  <c r="AA29" i="81"/>
  <c r="AA30" i="81" s="1"/>
  <c r="D18" i="81"/>
  <c r="D19" i="81" s="1"/>
  <c r="J30" i="81"/>
  <c r="X29" i="81"/>
  <c r="X30" i="81" s="1"/>
  <c r="K30" i="81"/>
  <c r="Y29" i="81"/>
  <c r="Y30" i="81" s="1"/>
  <c r="V29" i="81"/>
  <c r="V30" i="81" s="1"/>
  <c r="Z29" i="81"/>
  <c r="Z30" i="81" s="1"/>
  <c r="N29" i="81"/>
  <c r="N30" i="81" s="1"/>
  <c r="F27" i="81"/>
  <c r="G27" i="81"/>
  <c r="H27" i="81"/>
  <c r="H18" i="81" l="1"/>
  <c r="H19" i="81" s="1"/>
  <c r="H20" i="81" s="1"/>
  <c r="AD27" i="81" s="1"/>
  <c r="H30" i="81"/>
  <c r="L33" i="49"/>
  <c r="F18" i="81"/>
  <c r="F19" i="81" s="1"/>
  <c r="G20" i="81" s="1"/>
  <c r="G30" i="81"/>
  <c r="AD12" i="81"/>
  <c r="AE12" i="81" s="1"/>
  <c r="I18" i="81" s="1"/>
  <c r="I19" i="81" s="1"/>
  <c r="E18" i="81"/>
  <c r="E19" i="81" s="1"/>
  <c r="F20" i="81" s="1"/>
  <c r="Y32" i="49"/>
  <c r="Y33" i="49" s="1"/>
  <c r="H20" i="49"/>
  <c r="AA32" i="49"/>
  <c r="AA33" i="49" s="1"/>
  <c r="AB32" i="49"/>
  <c r="AB33" i="49" s="1"/>
  <c r="I20" i="49"/>
  <c r="P29" i="81"/>
  <c r="P30" i="81" s="1"/>
  <c r="C18" i="81"/>
  <c r="C19" i="81" s="1"/>
  <c r="D20" i="81" s="1"/>
  <c r="F20" i="49"/>
  <c r="F22" i="49" s="1"/>
  <c r="AD12" i="49"/>
  <c r="AE12" i="49" s="1"/>
  <c r="AF12" i="49" s="1"/>
  <c r="C20" i="49"/>
  <c r="C22" i="49" s="1"/>
  <c r="T32" i="49"/>
  <c r="T33" i="49" s="1"/>
  <c r="AD13" i="49"/>
  <c r="H32" i="49"/>
  <c r="H33" i="49" s="1"/>
  <c r="E20" i="49"/>
  <c r="E22" i="49" s="1"/>
  <c r="D20" i="49"/>
  <c r="D22" i="49" s="1"/>
  <c r="U32" i="49"/>
  <c r="U33" i="49" s="1"/>
  <c r="G20" i="49"/>
  <c r="G22" i="49" s="1"/>
  <c r="O33" i="49"/>
  <c r="AC32" i="49"/>
  <c r="C10" i="35" s="1"/>
  <c r="F30" i="81"/>
  <c r="AE27" i="81"/>
  <c r="AD29" i="81"/>
  <c r="AD30" i="81" s="1"/>
  <c r="AF12" i="81"/>
  <c r="I20" i="81" l="1"/>
  <c r="E20" i="81"/>
  <c r="AE13" i="49"/>
  <c r="AG13" i="49"/>
  <c r="AG12" i="49"/>
  <c r="AH12" i="49" s="1"/>
  <c r="AI12" i="49" s="1"/>
  <c r="AJ12" i="49" s="1"/>
  <c r="E23" i="49"/>
  <c r="AC33" i="49"/>
  <c r="H22" i="49"/>
  <c r="H23" i="49" s="1"/>
  <c r="AD30" i="49" s="1"/>
  <c r="AF13" i="49"/>
  <c r="D23" i="49"/>
  <c r="F23" i="49"/>
  <c r="G23" i="49"/>
  <c r="AG12" i="81"/>
  <c r="AE29" i="81"/>
  <c r="AE30" i="81" s="1"/>
  <c r="AF27" i="81"/>
  <c r="J20" i="49" l="1"/>
  <c r="AK12" i="49"/>
  <c r="AH12" i="81"/>
  <c r="AF29" i="81"/>
  <c r="AF30" i="81" s="1"/>
  <c r="AG27" i="81"/>
  <c r="AL12" i="49" l="1"/>
  <c r="AM12" i="49" s="1"/>
  <c r="AG29" i="81"/>
  <c r="AG30" i="81" s="1"/>
  <c r="AH27" i="81"/>
  <c r="AI12" i="81"/>
  <c r="AN12" i="49" l="1"/>
  <c r="J18" i="81"/>
  <c r="J19" i="81" s="1"/>
  <c r="AJ12" i="81"/>
  <c r="AI27" i="81"/>
  <c r="AH29" i="81"/>
  <c r="AH30" i="81" s="1"/>
  <c r="J22" i="49" l="1"/>
  <c r="K23" i="49" s="1"/>
  <c r="AL13" i="49"/>
  <c r="AM13" i="49"/>
  <c r="AN13" i="49"/>
  <c r="AI29" i="81"/>
  <c r="AI30" i="81" s="1"/>
  <c r="J20" i="81"/>
  <c r="AJ27" i="81" s="1"/>
  <c r="K20" i="81"/>
  <c r="AK12" i="81"/>
  <c r="AL12" i="81" s="1"/>
  <c r="AJ29" i="81" l="1"/>
  <c r="AJ30" i="81" s="1"/>
  <c r="AK27" i="81"/>
  <c r="AM12" i="81"/>
  <c r="AN12" i="81" s="1"/>
  <c r="AK29" i="81" l="1"/>
  <c r="AK30" i="81" s="1"/>
  <c r="AL27" i="81"/>
  <c r="AL29" i="81" l="1"/>
  <c r="AL30" i="81" s="1"/>
  <c r="AM27" i="81"/>
  <c r="AM29" i="81" l="1"/>
  <c r="AM30" i="81" s="1"/>
  <c r="AN27" i="81"/>
  <c r="AN29" i="81" l="1"/>
  <c r="AN30" i="81" s="1"/>
  <c r="F52" i="49" l="1"/>
  <c r="G52" i="49"/>
  <c r="H52" i="49"/>
  <c r="I52" i="49"/>
  <c r="J52" i="49"/>
  <c r="K52" i="49"/>
  <c r="L52" i="49"/>
  <c r="M52" i="49"/>
  <c r="N52" i="49"/>
  <c r="O52" i="49"/>
  <c r="P52" i="49"/>
  <c r="F53" i="49"/>
  <c r="G53" i="49"/>
  <c r="H53" i="49"/>
  <c r="I53" i="49"/>
  <c r="J53" i="49"/>
  <c r="K53" i="49"/>
  <c r="L53" i="49"/>
  <c r="M53" i="49"/>
  <c r="N53" i="49"/>
  <c r="O53" i="49"/>
  <c r="P53" i="49"/>
  <c r="J54" i="49"/>
  <c r="K54" i="49"/>
  <c r="L54" i="49"/>
  <c r="AK10" i="20"/>
  <c r="AL10" i="20"/>
  <c r="AM10" i="20"/>
  <c r="AJ10" i="20"/>
  <c r="AF9" i="20"/>
  <c r="AE10" i="20"/>
  <c r="AC14" i="20"/>
  <c r="AC73" i="26"/>
  <c r="F54" i="49" l="1"/>
  <c r="G54" i="49" s="1"/>
  <c r="H54" i="49" s="1"/>
  <c r="I54" i="49" s="1"/>
  <c r="AD68" i="59"/>
  <c r="AC66" i="59"/>
  <c r="AD67" i="59"/>
  <c r="AC31" i="59"/>
  <c r="AD50" i="59"/>
  <c r="AC67" i="59"/>
  <c r="AK9" i="20"/>
  <c r="AL9" i="20"/>
  <c r="AJ9" i="20"/>
  <c r="D64" i="20"/>
  <c r="C64" i="20"/>
  <c r="AM9" i="20"/>
  <c r="AG9" i="20"/>
  <c r="AH9" i="20"/>
  <c r="E64" i="20"/>
  <c r="F64" i="20"/>
  <c r="AO10" i="20" s="1"/>
  <c r="AO9" i="20" s="1"/>
  <c r="G64" i="20"/>
  <c r="H64" i="20"/>
  <c r="I64" i="20"/>
  <c r="J64" i="20"/>
  <c r="K64" i="20"/>
  <c r="L64" i="20"/>
  <c r="AF12" i="20"/>
  <c r="AR9" i="20"/>
  <c r="AS9" i="20"/>
  <c r="AS12" i="20" s="1"/>
  <c r="AT9" i="20"/>
  <c r="AU12" i="20" s="1"/>
  <c r="AU9" i="20"/>
  <c r="AV9" i="20"/>
  <c r="AV12" i="20" s="1"/>
  <c r="AW9" i="20"/>
  <c r="AX9" i="20"/>
  <c r="AX12" i="20" s="1"/>
  <c r="AY9" i="20"/>
  <c r="AZ9" i="20"/>
  <c r="AZ12" i="20" s="1"/>
  <c r="BA9" i="20"/>
  <c r="BB9" i="20"/>
  <c r="BB12" i="20" s="1"/>
  <c r="BC9" i="20"/>
  <c r="BC12" i="20" s="1"/>
  <c r="BD9" i="20"/>
  <c r="BE9" i="20"/>
  <c r="BF9" i="20"/>
  <c r="BG9" i="20"/>
  <c r="BG12" i="20" s="1"/>
  <c r="BH9" i="20"/>
  <c r="BI12" i="20" s="1"/>
  <c r="BI9" i="20"/>
  <c r="AD9" i="20"/>
  <c r="AD12" i="20" s="1"/>
  <c r="O12" i="20"/>
  <c r="P12" i="20"/>
  <c r="Q12" i="20"/>
  <c r="R12" i="20"/>
  <c r="S12" i="20"/>
  <c r="T12" i="20"/>
  <c r="U12" i="20"/>
  <c r="V12" i="20"/>
  <c r="W12" i="20"/>
  <c r="X12" i="20"/>
  <c r="Y12" i="20"/>
  <c r="Z12" i="20"/>
  <c r="AA12" i="20"/>
  <c r="AB12" i="20"/>
  <c r="AC12" i="20"/>
  <c r="BJ12" i="20"/>
  <c r="BK12" i="20"/>
  <c r="BL12" i="20"/>
  <c r="BM12" i="20"/>
  <c r="BN12" i="20"/>
  <c r="BO12" i="20"/>
  <c r="BP12" i="20"/>
  <c r="BQ12" i="20"/>
  <c r="N12" i="20"/>
  <c r="R58" i="48"/>
  <c r="S58" i="48"/>
  <c r="T58" i="48"/>
  <c r="U58" i="48"/>
  <c r="BD12" i="20" l="1"/>
  <c r="BF12" i="20"/>
  <c r="BE12" i="20"/>
  <c r="AN10" i="20"/>
  <c r="AN9" i="20" s="1"/>
  <c r="AQ10" i="20"/>
  <c r="AQ9" i="20" s="1"/>
  <c r="AP10" i="20"/>
  <c r="AP9" i="20" s="1"/>
  <c r="AH12" i="20"/>
  <c r="AL12" i="20"/>
  <c r="AR12" i="20"/>
  <c r="AP12" i="20"/>
  <c r="AO12" i="20"/>
  <c r="AN12" i="20"/>
  <c r="AJ12" i="20"/>
  <c r="AT12" i="20"/>
  <c r="BH12" i="20"/>
  <c r="AG12" i="20"/>
  <c r="AY12" i="20"/>
  <c r="AK12" i="20"/>
  <c r="AW12" i="20"/>
  <c r="AI12" i="20"/>
  <c r="AE12" i="20"/>
  <c r="AM12" i="20"/>
  <c r="BA12" i="20"/>
  <c r="AC36" i="59"/>
  <c r="AE50" i="59"/>
  <c r="AF50" i="59" s="1"/>
  <c r="U55" i="59"/>
  <c r="Q55" i="59"/>
  <c r="AQ12" i="20" l="1"/>
  <c r="AF26" i="59"/>
  <c r="AF33" i="59" s="1"/>
  <c r="AG50" i="59"/>
  <c r="AN89" i="80"/>
  <c r="AM88" i="80"/>
  <c r="AM89" i="80"/>
  <c r="AL89" i="80"/>
  <c r="AD73" i="59"/>
  <c r="AA85" i="80"/>
  <c r="AB85" i="80"/>
  <c r="AC85" i="80"/>
  <c r="AD85" i="80"/>
  <c r="AE85" i="80"/>
  <c r="AF85" i="80"/>
  <c r="AG85" i="80"/>
  <c r="AH85" i="80"/>
  <c r="AI85" i="80"/>
  <c r="AJ85" i="80"/>
  <c r="AK85" i="80"/>
  <c r="Z85" i="80"/>
  <c r="AK92" i="80"/>
  <c r="AK90" i="80"/>
  <c r="AL33" i="80"/>
  <c r="AL31" i="80"/>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P12" i="21"/>
  <c r="O12" i="21"/>
  <c r="N12" i="21"/>
  <c r="M12" i="21"/>
  <c r="V11" i="21"/>
  <c r="U11" i="21"/>
  <c r="T11" i="21"/>
  <c r="S11" i="21"/>
  <c r="R11" i="21"/>
  <c r="G81" i="21" s="1"/>
  <c r="Q11" i="21"/>
  <c r="P11" i="21"/>
  <c r="O11" i="21"/>
  <c r="N11" i="21"/>
  <c r="F81" i="21" s="1"/>
  <c r="M11" i="21"/>
  <c r="L11" i="21"/>
  <c r="K11" i="21"/>
  <c r="J11" i="21"/>
  <c r="E81" i="21" s="1"/>
  <c r="I11" i="21"/>
  <c r="H11" i="21"/>
  <c r="G11" i="21"/>
  <c r="F11" i="21"/>
  <c r="D81" i="21" s="1"/>
  <c r="T10" i="21"/>
  <c r="P10" i="21"/>
  <c r="O10" i="21"/>
  <c r="N10" i="21"/>
  <c r="H10" i="21"/>
  <c r="G10" i="21"/>
  <c r="F10" i="21"/>
  <c r="D80" i="21" s="1"/>
  <c r="V9" i="21"/>
  <c r="M9" i="21"/>
  <c r="L9" i="21"/>
  <c r="K9" i="21"/>
  <c r="C9" i="21"/>
  <c r="C8" i="21"/>
  <c r="V7" i="21"/>
  <c r="T7" i="21"/>
  <c r="S7" i="21"/>
  <c r="R7" i="21"/>
  <c r="I7" i="21"/>
  <c r="H7" i="21"/>
  <c r="F7" i="21"/>
  <c r="D7" i="21"/>
  <c r="C7" i="21"/>
  <c r="U6" i="21"/>
  <c r="J6" i="21"/>
  <c r="H6" i="21"/>
  <c r="G6" i="21"/>
  <c r="D6" i="21"/>
  <c r="C6" i="21"/>
  <c r="V5" i="21"/>
  <c r="V4" i="21"/>
  <c r="V3" i="21"/>
  <c r="S3" i="21"/>
  <c r="R3" i="21"/>
  <c r="D3" i="21"/>
  <c r="C3" i="21"/>
  <c r="D1" i="21"/>
  <c r="E1" i="21" s="1"/>
  <c r="C19" i="6"/>
  <c r="B19" i="6"/>
  <c r="Q17" i="6"/>
  <c r="U16" i="6"/>
  <c r="T16" i="6"/>
  <c r="T17" i="6" s="1"/>
  <c r="S16" i="6"/>
  <c r="V49" i="21" s="1"/>
  <c r="R16" i="6"/>
  <c r="U49" i="21" s="1"/>
  <c r="Q16" i="6"/>
  <c r="T49" i="21" s="1"/>
  <c r="P16" i="6"/>
  <c r="S49" i="21" s="1"/>
  <c r="O16" i="6"/>
  <c r="N16" i="6"/>
  <c r="Q49" i="21" s="1"/>
  <c r="C9" i="6"/>
  <c r="D9" i="6" s="1"/>
  <c r="U6" i="6"/>
  <c r="T6" i="6"/>
  <c r="U3" i="21" s="1"/>
  <c r="S6" i="6"/>
  <c r="T3" i="21" s="1"/>
  <c r="R6" i="6"/>
  <c r="Q6" i="6"/>
  <c r="P6" i="6"/>
  <c r="Q3" i="21" s="1"/>
  <c r="O6" i="6"/>
  <c r="N6" i="6"/>
  <c r="M6" i="6"/>
  <c r="L6" i="6"/>
  <c r="K6" i="6"/>
  <c r="L3" i="21" s="1"/>
  <c r="J6" i="6"/>
  <c r="I6" i="6"/>
  <c r="H6" i="6"/>
  <c r="G6" i="6"/>
  <c r="F6" i="6"/>
  <c r="E6" i="6"/>
  <c r="F3" i="21" s="1"/>
  <c r="D6" i="6"/>
  <c r="C6" i="6"/>
  <c r="B6" i="6"/>
  <c r="BJ16" i="5"/>
  <c r="BI16" i="5"/>
  <c r="BH16" i="5"/>
  <c r="BG16" i="5"/>
  <c r="BF16" i="5"/>
  <c r="BE16" i="5"/>
  <c r="BD16" i="5"/>
  <c r="BC16" i="5"/>
  <c r="G16" i="5" s="1"/>
  <c r="BB16" i="5"/>
  <c r="AZ16" i="5"/>
  <c r="AY16" i="5"/>
  <c r="AX16" i="5"/>
  <c r="AW16" i="5"/>
  <c r="AV16" i="5"/>
  <c r="AU16" i="5"/>
  <c r="M16" i="5" s="1"/>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K16" i="5"/>
  <c r="N15" i="5"/>
  <c r="M15" i="5"/>
  <c r="K15" i="5"/>
  <c r="J15" i="5"/>
  <c r="I15" i="5"/>
  <c r="H15" i="5"/>
  <c r="G15" i="5"/>
  <c r="E15" i="5"/>
  <c r="D15" i="5"/>
  <c r="C15" i="5"/>
  <c r="B15" i="5"/>
  <c r="N14" i="5"/>
  <c r="M14" i="5"/>
  <c r="K14" i="5"/>
  <c r="J14" i="5"/>
  <c r="I14" i="5"/>
  <c r="H14" i="5"/>
  <c r="G14" i="5"/>
  <c r="E14" i="5"/>
  <c r="D14" i="5"/>
  <c r="C14" i="5"/>
  <c r="F14" i="5" s="1"/>
  <c r="B14" i="5"/>
  <c r="N13" i="5"/>
  <c r="M13" i="5"/>
  <c r="K13" i="5"/>
  <c r="J13" i="5"/>
  <c r="I13" i="5"/>
  <c r="H13" i="5"/>
  <c r="G13" i="5"/>
  <c r="F13" i="5"/>
  <c r="E13" i="5"/>
  <c r="D13" i="5"/>
  <c r="C13" i="5"/>
  <c r="B13" i="5"/>
  <c r="N12" i="5"/>
  <c r="M12" i="5"/>
  <c r="K12" i="5"/>
  <c r="J12" i="5"/>
  <c r="I12" i="5"/>
  <c r="H12" i="5"/>
  <c r="G12" i="5"/>
  <c r="D12" i="5"/>
  <c r="C12" i="5"/>
  <c r="F12" i="5" s="1"/>
  <c r="B12" i="5"/>
  <c r="E12" i="5" s="1"/>
  <c r="N11" i="5"/>
  <c r="M11" i="5"/>
  <c r="K11" i="5"/>
  <c r="J11" i="5"/>
  <c r="I11" i="5"/>
  <c r="H11" i="5"/>
  <c r="G11" i="5"/>
  <c r="F11" i="5"/>
  <c r="D11" i="5"/>
  <c r="C11" i="5"/>
  <c r="B11" i="5"/>
  <c r="E11" i="5" s="1"/>
  <c r="N10" i="5"/>
  <c r="M10" i="5"/>
  <c r="V12" i="21" s="1"/>
  <c r="K10" i="5"/>
  <c r="V10" i="21" s="1"/>
  <c r="J10" i="5"/>
  <c r="I10" i="5"/>
  <c r="H10" i="5"/>
  <c r="G10" i="5"/>
  <c r="V6" i="21" s="1"/>
  <c r="F10" i="5"/>
  <c r="E10" i="5"/>
  <c r="D10" i="5"/>
  <c r="C10" i="5"/>
  <c r="B10" i="5"/>
  <c r="N9" i="5"/>
  <c r="M9" i="5"/>
  <c r="K9" i="5"/>
  <c r="S10" i="21" s="1"/>
  <c r="AC37" i="26" s="1"/>
  <c r="J9" i="5"/>
  <c r="U9" i="21" s="1"/>
  <c r="I9" i="5"/>
  <c r="H9" i="5"/>
  <c r="U7" i="21" s="1"/>
  <c r="G9" i="5"/>
  <c r="F9" i="5"/>
  <c r="U5" i="21" s="1"/>
  <c r="E9" i="5"/>
  <c r="D9" i="5"/>
  <c r="C9" i="5"/>
  <c r="B9" i="5"/>
  <c r="N8" i="5"/>
  <c r="M8" i="5"/>
  <c r="Q12" i="21" s="1"/>
  <c r="K8" i="5"/>
  <c r="Q10" i="21" s="1"/>
  <c r="J8" i="5"/>
  <c r="I8" i="5"/>
  <c r="H8" i="5"/>
  <c r="G8" i="5"/>
  <c r="D8" i="5"/>
  <c r="C8" i="5"/>
  <c r="F8" i="5" s="1"/>
  <c r="B8" i="5"/>
  <c r="N7" i="5"/>
  <c r="M7" i="5"/>
  <c r="L12" i="21" s="1"/>
  <c r="K7" i="5"/>
  <c r="M10" i="21" s="1"/>
  <c r="J7" i="5"/>
  <c r="J9" i="21" s="1"/>
  <c r="I7" i="5"/>
  <c r="H7" i="5"/>
  <c r="J7" i="21" s="1"/>
  <c r="G7" i="5"/>
  <c r="E7" i="5"/>
  <c r="M4" i="21" s="1"/>
  <c r="D7" i="5"/>
  <c r="C7" i="5"/>
  <c r="K3" i="21" s="1"/>
  <c r="B7" i="5"/>
  <c r="N6" i="5"/>
  <c r="M6" i="5"/>
  <c r="K6" i="5"/>
  <c r="I10" i="21" s="1"/>
  <c r="J6" i="5"/>
  <c r="J16" i="5" s="1"/>
  <c r="I6" i="5"/>
  <c r="H6" i="5"/>
  <c r="G7" i="21" s="1"/>
  <c r="G6" i="5"/>
  <c r="E6" i="5"/>
  <c r="G4" i="21" s="1"/>
  <c r="D6" i="5"/>
  <c r="C6" i="5"/>
  <c r="F6" i="5" s="1"/>
  <c r="B6" i="5"/>
  <c r="N5" i="5"/>
  <c r="M5" i="5"/>
  <c r="C12" i="21" s="1"/>
  <c r="L5" i="5"/>
  <c r="C11" i="21" s="1"/>
  <c r="K5" i="5"/>
  <c r="C10" i="21" s="1"/>
  <c r="J5" i="5"/>
  <c r="I5" i="5"/>
  <c r="I16" i="5" s="1"/>
  <c r="H5" i="5"/>
  <c r="G5" i="5"/>
  <c r="D5" i="5"/>
  <c r="D16" i="5" s="1"/>
  <c r="C5" i="5"/>
  <c r="B5" i="5"/>
  <c r="D8" i="21" s="1"/>
  <c r="F17" i="27"/>
  <c r="F16" i="27"/>
  <c r="F15" i="27"/>
  <c r="F14" i="27"/>
  <c r="F13" i="27"/>
  <c r="F12" i="27"/>
  <c r="F11" i="27"/>
  <c r="F9" i="27"/>
  <c r="F8" i="27"/>
  <c r="F7" i="27"/>
  <c r="F6" i="27"/>
  <c r="F5" i="27"/>
  <c r="B3" i="27"/>
  <c r="S194" i="65"/>
  <c r="J192" i="65"/>
  <c r="K192" i="65" s="1"/>
  <c r="L192" i="65" s="1"/>
  <c r="M192" i="65" s="1"/>
  <c r="F192" i="65"/>
  <c r="G192" i="65" s="1"/>
  <c r="H192" i="65" s="1"/>
  <c r="I192" i="65" s="1"/>
  <c r="D192" i="65"/>
  <c r="E192" i="65" s="1"/>
  <c r="D191" i="65"/>
  <c r="E191" i="65" s="1"/>
  <c r="S188" i="65"/>
  <c r="R188" i="65"/>
  <c r="O188" i="65"/>
  <c r="P188" i="65" s="1"/>
  <c r="Q188" i="65" s="1"/>
  <c r="N188" i="65"/>
  <c r="J188" i="65"/>
  <c r="K188" i="65" s="1"/>
  <c r="L188" i="65" s="1"/>
  <c r="M188" i="65" s="1"/>
  <c r="I188" i="65"/>
  <c r="F188" i="65"/>
  <c r="G188" i="65" s="1"/>
  <c r="H188" i="65" s="1"/>
  <c r="E188" i="65"/>
  <c r="D188" i="65"/>
  <c r="F187" i="65"/>
  <c r="G187" i="65" s="1"/>
  <c r="H187" i="65" s="1"/>
  <c r="I187" i="65" s="1"/>
  <c r="E187" i="65"/>
  <c r="R186" i="65"/>
  <c r="S186" i="65" s="1"/>
  <c r="H186" i="65"/>
  <c r="I186" i="65" s="1"/>
  <c r="G186" i="65"/>
  <c r="O185" i="65"/>
  <c r="P185" i="65" s="1"/>
  <c r="Q185" i="65" s="1"/>
  <c r="N184" i="65"/>
  <c r="O184" i="65" s="1"/>
  <c r="P184" i="65" s="1"/>
  <c r="Q184" i="65" s="1"/>
  <c r="AE79" i="26" s="1"/>
  <c r="D184" i="65"/>
  <c r="E184" i="65" s="1"/>
  <c r="L179" i="65"/>
  <c r="J179" i="65"/>
  <c r="I179" i="65"/>
  <c r="G179" i="65"/>
  <c r="N194" i="65" s="1"/>
  <c r="O194" i="65" s="1"/>
  <c r="P194" i="65" s="1"/>
  <c r="Q194" i="65" s="1"/>
  <c r="F179" i="65"/>
  <c r="J194" i="65" s="1"/>
  <c r="K194" i="65" s="1"/>
  <c r="L194" i="65" s="1"/>
  <c r="M194" i="65" s="1"/>
  <c r="D179" i="65"/>
  <c r="D194" i="65" s="1"/>
  <c r="E194" i="65" s="1"/>
  <c r="K178" i="65"/>
  <c r="H178" i="65"/>
  <c r="R193" i="65" s="1"/>
  <c r="S193" i="65" s="1"/>
  <c r="G178" i="65"/>
  <c r="N193" i="65" s="1"/>
  <c r="O193" i="65" s="1"/>
  <c r="P193" i="65" s="1"/>
  <c r="Q193" i="65" s="1"/>
  <c r="N177" i="65"/>
  <c r="L177" i="65"/>
  <c r="K177" i="65"/>
  <c r="I177" i="65"/>
  <c r="H177" i="65"/>
  <c r="R192" i="65" s="1"/>
  <c r="S192" i="65" s="1"/>
  <c r="F177" i="65"/>
  <c r="E177" i="65"/>
  <c r="N176" i="65"/>
  <c r="M176" i="65"/>
  <c r="F176" i="65"/>
  <c r="J191" i="65" s="1"/>
  <c r="K191" i="65" s="1"/>
  <c r="L191" i="65" s="1"/>
  <c r="M191" i="65" s="1"/>
  <c r="E176" i="65"/>
  <c r="F191" i="65" s="1"/>
  <c r="G191" i="65" s="1"/>
  <c r="H191" i="65" s="1"/>
  <c r="I191" i="65" s="1"/>
  <c r="D176" i="65"/>
  <c r="O175" i="65"/>
  <c r="L175" i="65"/>
  <c r="K175" i="65"/>
  <c r="D175" i="65"/>
  <c r="D190" i="65" s="1"/>
  <c r="E190" i="65" s="1"/>
  <c r="O174" i="65"/>
  <c r="N174" i="65"/>
  <c r="M174" i="65"/>
  <c r="K174" i="65"/>
  <c r="J174" i="65"/>
  <c r="I174" i="65"/>
  <c r="I172" i="65"/>
  <c r="H172" i="65"/>
  <c r="R187" i="65" s="1"/>
  <c r="S187" i="65" s="1"/>
  <c r="G172" i="65"/>
  <c r="N187" i="65" s="1"/>
  <c r="O187" i="65" s="1"/>
  <c r="P187" i="65" s="1"/>
  <c r="Q187" i="65" s="1"/>
  <c r="F172" i="65"/>
  <c r="J187" i="65" s="1"/>
  <c r="K187" i="65" s="1"/>
  <c r="L187" i="65" s="1"/>
  <c r="M187" i="65" s="1"/>
  <c r="D172" i="65"/>
  <c r="D187" i="65" s="1"/>
  <c r="L171" i="65"/>
  <c r="K171" i="65"/>
  <c r="J171" i="65"/>
  <c r="I171" i="65"/>
  <c r="F171" i="65"/>
  <c r="J186" i="65" s="1"/>
  <c r="K186" i="65" s="1"/>
  <c r="L186" i="65" s="1"/>
  <c r="M186" i="65" s="1"/>
  <c r="E171" i="65"/>
  <c r="F186" i="65" s="1"/>
  <c r="N170" i="65"/>
  <c r="M170" i="65"/>
  <c r="K170" i="65"/>
  <c r="J170" i="65"/>
  <c r="I170" i="65"/>
  <c r="H170" i="65"/>
  <c r="R185" i="65" s="1"/>
  <c r="S185" i="65" s="1"/>
  <c r="G170" i="65"/>
  <c r="N185" i="65" s="1"/>
  <c r="O169" i="65"/>
  <c r="N169" i="65"/>
  <c r="M169" i="65"/>
  <c r="L169" i="65"/>
  <c r="K169" i="65"/>
  <c r="J169" i="65"/>
  <c r="I169" i="65"/>
  <c r="H169" i="65"/>
  <c r="R184" i="65" s="1"/>
  <c r="S184" i="65" s="1"/>
  <c r="G169" i="65"/>
  <c r="F169" i="65"/>
  <c r="J184" i="65" s="1"/>
  <c r="K184" i="65" s="1"/>
  <c r="L184" i="65" s="1"/>
  <c r="M184" i="65" s="1"/>
  <c r="E169" i="65"/>
  <c r="F184" i="65" s="1"/>
  <c r="G184" i="65" s="1"/>
  <c r="H184" i="65" s="1"/>
  <c r="I184" i="65" s="1"/>
  <c r="D169" i="65"/>
  <c r="O85" i="65"/>
  <c r="O178" i="65" s="1"/>
  <c r="N85" i="65"/>
  <c r="N178" i="65" s="1"/>
  <c r="M85" i="65"/>
  <c r="M178" i="65" s="1"/>
  <c r="L85" i="65"/>
  <c r="L178" i="65" s="1"/>
  <c r="K85" i="65"/>
  <c r="J85" i="65"/>
  <c r="J178" i="65" s="1"/>
  <c r="I85" i="65"/>
  <c r="I178" i="65" s="1"/>
  <c r="H85" i="65"/>
  <c r="G85" i="65"/>
  <c r="F85" i="65"/>
  <c r="F178" i="65" s="1"/>
  <c r="J193" i="65" s="1"/>
  <c r="K193" i="65" s="1"/>
  <c r="L193" i="65" s="1"/>
  <c r="M193" i="65" s="1"/>
  <c r="E85" i="65"/>
  <c r="E178" i="65" s="1"/>
  <c r="F193" i="65" s="1"/>
  <c r="G193" i="65" s="1"/>
  <c r="H193" i="65" s="1"/>
  <c r="I193" i="65" s="1"/>
  <c r="D85" i="65"/>
  <c r="D178" i="65" s="1"/>
  <c r="D193" i="65" s="1"/>
  <c r="E193" i="65" s="1"/>
  <c r="O84" i="65"/>
  <c r="O177" i="65" s="1"/>
  <c r="N84" i="65"/>
  <c r="M84" i="65"/>
  <c r="M177" i="65" s="1"/>
  <c r="L84" i="65"/>
  <c r="K84" i="65"/>
  <c r="J84" i="65"/>
  <c r="J177" i="65" s="1"/>
  <c r="I84" i="65"/>
  <c r="H84" i="65"/>
  <c r="G84" i="65"/>
  <c r="G177" i="65" s="1"/>
  <c r="N192" i="65" s="1"/>
  <c r="O192" i="65" s="1"/>
  <c r="P192" i="65" s="1"/>
  <c r="Q192" i="65" s="1"/>
  <c r="F84" i="65"/>
  <c r="E84" i="65"/>
  <c r="D84" i="65"/>
  <c r="D177" i="65" s="1"/>
  <c r="O83" i="65"/>
  <c r="O179" i="65" s="1"/>
  <c r="N83" i="65"/>
  <c r="N179" i="65" s="1"/>
  <c r="M83" i="65"/>
  <c r="M179" i="65" s="1"/>
  <c r="L83" i="65"/>
  <c r="K83" i="65"/>
  <c r="K179" i="65" s="1"/>
  <c r="J83" i="65"/>
  <c r="I83" i="65"/>
  <c r="H83" i="65"/>
  <c r="H179" i="65" s="1"/>
  <c r="R194" i="65" s="1"/>
  <c r="G83" i="65"/>
  <c r="F83" i="65"/>
  <c r="E83" i="65"/>
  <c r="E179" i="65" s="1"/>
  <c r="F194" i="65" s="1"/>
  <c r="G194" i="65" s="1"/>
  <c r="H194" i="65" s="1"/>
  <c r="I194" i="65" s="1"/>
  <c r="D83" i="65"/>
  <c r="O74" i="65"/>
  <c r="O172" i="65" s="1"/>
  <c r="N74" i="65"/>
  <c r="N172" i="65" s="1"/>
  <c r="M74" i="65"/>
  <c r="M172" i="65" s="1"/>
  <c r="L74" i="65"/>
  <c r="L172" i="65" s="1"/>
  <c r="K74" i="65"/>
  <c r="K172" i="65" s="1"/>
  <c r="J74" i="65"/>
  <c r="J172" i="65" s="1"/>
  <c r="I74" i="65"/>
  <c r="H74" i="65"/>
  <c r="G74" i="65"/>
  <c r="F74" i="65"/>
  <c r="E74" i="65"/>
  <c r="E172" i="65" s="1"/>
  <c r="D74" i="65"/>
  <c r="O73" i="65"/>
  <c r="O176" i="65" s="1"/>
  <c r="N73" i="65"/>
  <c r="M73" i="65"/>
  <c r="L73" i="65"/>
  <c r="L176" i="65" s="1"/>
  <c r="K73" i="65"/>
  <c r="K176" i="65" s="1"/>
  <c r="J73" i="65"/>
  <c r="J176" i="65" s="1"/>
  <c r="I73" i="65"/>
  <c r="I176" i="65" s="1"/>
  <c r="H73" i="65"/>
  <c r="H176" i="65" s="1"/>
  <c r="R191" i="65" s="1"/>
  <c r="S191" i="65" s="1"/>
  <c r="G73" i="65"/>
  <c r="G176" i="65" s="1"/>
  <c r="N191" i="65" s="1"/>
  <c r="O191" i="65" s="1"/>
  <c r="P191" i="65" s="1"/>
  <c r="Q191" i="65" s="1"/>
  <c r="F73" i="65"/>
  <c r="E73" i="65"/>
  <c r="D73" i="65"/>
  <c r="O72" i="65"/>
  <c r="N72" i="65"/>
  <c r="N175" i="65" s="1"/>
  <c r="M72" i="65"/>
  <c r="M175" i="65" s="1"/>
  <c r="L72" i="65"/>
  <c r="K72" i="65"/>
  <c r="J72" i="65"/>
  <c r="J175" i="65" s="1"/>
  <c r="I72" i="65"/>
  <c r="I175" i="65" s="1"/>
  <c r="H72" i="65"/>
  <c r="H175" i="65" s="1"/>
  <c r="R190" i="65" s="1"/>
  <c r="S190" i="65" s="1"/>
  <c r="G72" i="65"/>
  <c r="G175" i="65" s="1"/>
  <c r="N190" i="65" s="1"/>
  <c r="O190" i="65" s="1"/>
  <c r="P190" i="65" s="1"/>
  <c r="Q190" i="65" s="1"/>
  <c r="F72" i="65"/>
  <c r="F175" i="65" s="1"/>
  <c r="J190" i="65" s="1"/>
  <c r="K190" i="65" s="1"/>
  <c r="L190" i="65" s="1"/>
  <c r="M190" i="65" s="1"/>
  <c r="E72" i="65"/>
  <c r="E175" i="65" s="1"/>
  <c r="F190" i="65" s="1"/>
  <c r="G190" i="65" s="1"/>
  <c r="H190" i="65" s="1"/>
  <c r="I190" i="65" s="1"/>
  <c r="D72" i="65"/>
  <c r="O71" i="65"/>
  <c r="N71" i="65"/>
  <c r="M71" i="65"/>
  <c r="L71" i="65"/>
  <c r="L174" i="65" s="1"/>
  <c r="K71" i="65"/>
  <c r="J71" i="65"/>
  <c r="I71" i="65"/>
  <c r="H71" i="65"/>
  <c r="H174" i="65" s="1"/>
  <c r="R189" i="65" s="1"/>
  <c r="S189" i="65" s="1"/>
  <c r="G71" i="65"/>
  <c r="G174" i="65" s="1"/>
  <c r="N189" i="65" s="1"/>
  <c r="O189" i="65" s="1"/>
  <c r="P189" i="65" s="1"/>
  <c r="Q189" i="65" s="1"/>
  <c r="F71" i="65"/>
  <c r="F174" i="65" s="1"/>
  <c r="J189" i="65" s="1"/>
  <c r="K189" i="65" s="1"/>
  <c r="L189" i="65" s="1"/>
  <c r="M189" i="65" s="1"/>
  <c r="E71" i="65"/>
  <c r="E174" i="65" s="1"/>
  <c r="F189" i="65" s="1"/>
  <c r="G189" i="65" s="1"/>
  <c r="H189" i="65" s="1"/>
  <c r="I189" i="65" s="1"/>
  <c r="D71" i="65"/>
  <c r="D174" i="65" s="1"/>
  <c r="D189" i="65" s="1"/>
  <c r="E189" i="65" s="1"/>
  <c r="O70" i="65"/>
  <c r="O170" i="65" s="1"/>
  <c r="N70" i="65"/>
  <c r="M70" i="65"/>
  <c r="L70" i="65"/>
  <c r="L170" i="65" s="1"/>
  <c r="K70" i="65"/>
  <c r="J70" i="65"/>
  <c r="I70" i="65"/>
  <c r="H70" i="65"/>
  <c r="G70" i="65"/>
  <c r="F70" i="65"/>
  <c r="F170" i="65" s="1"/>
  <c r="J185" i="65" s="1"/>
  <c r="K185" i="65" s="1"/>
  <c r="L185" i="65" s="1"/>
  <c r="M185" i="65" s="1"/>
  <c r="E70" i="65"/>
  <c r="E170" i="65" s="1"/>
  <c r="F185" i="65" s="1"/>
  <c r="G185" i="65" s="1"/>
  <c r="H185" i="65" s="1"/>
  <c r="I185" i="65" s="1"/>
  <c r="D70" i="65"/>
  <c r="D170" i="65" s="1"/>
  <c r="D185" i="65" s="1"/>
  <c r="E185" i="65" s="1"/>
  <c r="O69" i="65"/>
  <c r="O171" i="65" s="1"/>
  <c r="N69" i="65"/>
  <c r="N171" i="65" s="1"/>
  <c r="M69" i="65"/>
  <c r="M171" i="65" s="1"/>
  <c r="L69" i="65"/>
  <c r="K69" i="65"/>
  <c r="J69" i="65"/>
  <c r="I69" i="65"/>
  <c r="H69" i="65"/>
  <c r="H171" i="65" s="1"/>
  <c r="G69" i="65"/>
  <c r="G171" i="65" s="1"/>
  <c r="N186" i="65" s="1"/>
  <c r="O186" i="65" s="1"/>
  <c r="P186" i="65" s="1"/>
  <c r="Q186" i="65" s="1"/>
  <c r="F69" i="65"/>
  <c r="E69" i="65"/>
  <c r="D69" i="65"/>
  <c r="D171" i="65" s="1"/>
  <c r="D186" i="65" s="1"/>
  <c r="E186" i="65" s="1"/>
  <c r="M11" i="29"/>
  <c r="L11" i="29"/>
  <c r="K11" i="29"/>
  <c r="T10" i="29"/>
  <c r="S10" i="29"/>
  <c r="O10" i="29"/>
  <c r="T9" i="29"/>
  <c r="S9" i="29"/>
  <c r="R9" i="29"/>
  <c r="R10" i="29" s="1"/>
  <c r="Q9" i="29"/>
  <c r="Q10" i="29" s="1"/>
  <c r="P9" i="29"/>
  <c r="P10" i="29" s="1"/>
  <c r="O9" i="29"/>
  <c r="N9" i="29"/>
  <c r="N10" i="29" s="1"/>
  <c r="M9" i="29"/>
  <c r="M10" i="29" s="1"/>
  <c r="L9" i="29"/>
  <c r="K9" i="29"/>
  <c r="J9" i="29"/>
  <c r="J11" i="29" s="1"/>
  <c r="L14" i="40"/>
  <c r="L16" i="40" s="1"/>
  <c r="T13" i="40"/>
  <c r="T14" i="40" s="1"/>
  <c r="T16" i="40" s="1"/>
  <c r="S13" i="40"/>
  <c r="S14" i="40" s="1"/>
  <c r="R13" i="40"/>
  <c r="Q13" i="40"/>
  <c r="Q14" i="40" s="1"/>
  <c r="P13" i="40"/>
  <c r="P14" i="40" s="1"/>
  <c r="O13" i="40"/>
  <c r="N13" i="40"/>
  <c r="M13" i="40"/>
  <c r="L13" i="40"/>
  <c r="K13" i="40"/>
  <c r="J13" i="40"/>
  <c r="T12" i="40"/>
  <c r="S12" i="40"/>
  <c r="R12" i="40"/>
  <c r="Q12" i="40"/>
  <c r="P12" i="40"/>
  <c r="O12" i="40"/>
  <c r="N12" i="40"/>
  <c r="M12" i="40"/>
  <c r="L12" i="40"/>
  <c r="K12" i="40"/>
  <c r="J12" i="40"/>
  <c r="T11" i="40"/>
  <c r="S11" i="40"/>
  <c r="R11" i="40"/>
  <c r="Q11" i="40"/>
  <c r="P11" i="40"/>
  <c r="O11" i="40"/>
  <c r="N11" i="40"/>
  <c r="M11" i="40"/>
  <c r="L11" i="40"/>
  <c r="K11" i="40"/>
  <c r="J11" i="40"/>
  <c r="K67" i="38"/>
  <c r="K66" i="38" s="1"/>
  <c r="L65" i="38"/>
  <c r="K65" i="38"/>
  <c r="I65" i="38"/>
  <c r="L64" i="38"/>
  <c r="L66" i="38" s="1"/>
  <c r="P54" i="38"/>
  <c r="O54" i="38"/>
  <c r="O55" i="38" s="1"/>
  <c r="O56" i="38" s="1"/>
  <c r="N54" i="38"/>
  <c r="N55" i="38" s="1"/>
  <c r="M54" i="38"/>
  <c r="L54" i="38"/>
  <c r="L55" i="38" s="1"/>
  <c r="K54" i="38"/>
  <c r="J54" i="38"/>
  <c r="J55" i="38" s="1"/>
  <c r="J56" i="38" s="1"/>
  <c r="P53" i="38"/>
  <c r="O53" i="38"/>
  <c r="N53" i="38"/>
  <c r="J65" i="38" s="1"/>
  <c r="M53" i="38"/>
  <c r="M55" i="38" s="1"/>
  <c r="L53" i="38"/>
  <c r="K53" i="38"/>
  <c r="J53" i="38"/>
  <c r="Q45" i="38"/>
  <c r="J45" i="38"/>
  <c r="Q44" i="38"/>
  <c r="J44" i="38"/>
  <c r="J43" i="38"/>
  <c r="Q43" i="38" s="1"/>
  <c r="Q42" i="38"/>
  <c r="J42" i="38"/>
  <c r="Q41" i="38"/>
  <c r="J41" i="38"/>
  <c r="J40" i="38"/>
  <c r="T39" i="38"/>
  <c r="T40" i="38" s="1"/>
  <c r="S39" i="38"/>
  <c r="S40" i="38" s="1"/>
  <c r="S41" i="38" s="1"/>
  <c r="S42" i="38" s="1"/>
  <c r="S43" i="38" s="1"/>
  <c r="S44" i="38" s="1"/>
  <c r="S45" i="38" s="1"/>
  <c r="J39" i="38"/>
  <c r="T38" i="38"/>
  <c r="P38" i="38" s="1"/>
  <c r="R38" i="38" s="1"/>
  <c r="S38" i="38"/>
  <c r="Q38" i="38"/>
  <c r="J38" i="38"/>
  <c r="J37" i="38"/>
  <c r="P36" i="38"/>
  <c r="J36" i="38"/>
  <c r="P35" i="38"/>
  <c r="J35" i="38"/>
  <c r="J34" i="38"/>
  <c r="P34" i="38" s="1"/>
  <c r="J33" i="38"/>
  <c r="P33" i="38" s="1"/>
  <c r="J32" i="38"/>
  <c r="J31" i="38"/>
  <c r="P31" i="38" s="1"/>
  <c r="P30" i="38"/>
  <c r="J30" i="38"/>
  <c r="P29" i="38"/>
  <c r="J29" i="38"/>
  <c r="T28" i="38"/>
  <c r="T29" i="38" s="1"/>
  <c r="T30" i="38" s="1"/>
  <c r="T31" i="38" s="1"/>
  <c r="T32" i="38" s="1"/>
  <c r="T33" i="38" s="1"/>
  <c r="T34" i="38" s="1"/>
  <c r="T35" i="38" s="1"/>
  <c r="T36" i="38" s="1"/>
  <c r="S28" i="38"/>
  <c r="O28" i="38" s="1"/>
  <c r="Q28" i="38" s="1"/>
  <c r="P28" i="38"/>
  <c r="J28" i="38"/>
  <c r="J27" i="38"/>
  <c r="J26" i="38"/>
  <c r="N26" i="38" s="1"/>
  <c r="N25" i="38"/>
  <c r="J25" i="38"/>
  <c r="J24" i="38"/>
  <c r="S23" i="38"/>
  <c r="S24" i="38" s="1"/>
  <c r="J23" i="38"/>
  <c r="J22" i="38"/>
  <c r="M22" i="38" s="1"/>
  <c r="N22" i="38" s="1"/>
  <c r="N21" i="38"/>
  <c r="M21" i="38"/>
  <c r="J21" i="38"/>
  <c r="M20" i="38"/>
  <c r="J20" i="38"/>
  <c r="M19" i="38"/>
  <c r="J19" i="38"/>
  <c r="M18" i="38"/>
  <c r="J18" i="38"/>
  <c r="M17" i="38"/>
  <c r="J17" i="38"/>
  <c r="M16" i="38"/>
  <c r="J16" i="38"/>
  <c r="J15" i="38"/>
  <c r="S14" i="38"/>
  <c r="S15" i="38" s="1"/>
  <c r="J14" i="38"/>
  <c r="M14" i="38" s="1"/>
  <c r="M13" i="38"/>
  <c r="J13" i="38"/>
  <c r="L13" i="38" s="1"/>
  <c r="N13" i="38" s="1"/>
  <c r="M12" i="38"/>
  <c r="J12" i="38"/>
  <c r="L12" i="38" s="1"/>
  <c r="N12" i="38" s="1"/>
  <c r="M11" i="38"/>
  <c r="L11" i="38"/>
  <c r="J11" i="38"/>
  <c r="N11" i="38" s="1"/>
  <c r="AN79" i="70"/>
  <c r="AM79" i="70"/>
  <c r="AL79" i="70"/>
  <c r="AK79" i="70"/>
  <c r="AB79" i="70"/>
  <c r="Z79" i="70"/>
  <c r="Y79" i="70"/>
  <c r="X79" i="70"/>
  <c r="W79" i="70"/>
  <c r="AI78" i="70"/>
  <c r="AH78" i="70"/>
  <c r="AG78" i="70"/>
  <c r="AF78" i="70"/>
  <c r="AE78" i="70"/>
  <c r="AD78" i="70"/>
  <c r="U78" i="70"/>
  <c r="T78" i="70"/>
  <c r="AN77" i="70"/>
  <c r="AM77" i="70"/>
  <c r="AL77" i="70"/>
  <c r="AB77" i="70"/>
  <c r="AA77" i="70"/>
  <c r="Z77" i="70"/>
  <c r="Y77" i="70"/>
  <c r="X77" i="70"/>
  <c r="AN74" i="70"/>
  <c r="AM74" i="70"/>
  <c r="AL74" i="70"/>
  <c r="AK74" i="70"/>
  <c r="AJ74" i="70"/>
  <c r="AJ79" i="70" s="1"/>
  <c r="AI74" i="70"/>
  <c r="AI79" i="70" s="1"/>
  <c r="AH74" i="70"/>
  <c r="AG74" i="70"/>
  <c r="AF74" i="70"/>
  <c r="AE74" i="70"/>
  <c r="AE79" i="70" s="1"/>
  <c r="AD74" i="70"/>
  <c r="AD79" i="70" s="1"/>
  <c r="AC74" i="70"/>
  <c r="AB74" i="70"/>
  <c r="AC79" i="70" s="1"/>
  <c r="AA74" i="70"/>
  <c r="AA79" i="70" s="1"/>
  <c r="Z74" i="70"/>
  <c r="Y74" i="70"/>
  <c r="X74" i="70"/>
  <c r="W74" i="70"/>
  <c r="V74" i="70"/>
  <c r="V79" i="70" s="1"/>
  <c r="U74" i="70"/>
  <c r="U79" i="70" s="1"/>
  <c r="T74" i="70"/>
  <c r="T79" i="70" s="1"/>
  <c r="S74" i="70"/>
  <c r="S57" i="70" s="1"/>
  <c r="AN73" i="70"/>
  <c r="AM73" i="70"/>
  <c r="AM78" i="70" s="1"/>
  <c r="AL73" i="70"/>
  <c r="AL78" i="70" s="1"/>
  <c r="AK73" i="70"/>
  <c r="AK78" i="70" s="1"/>
  <c r="AJ73" i="70"/>
  <c r="AJ78" i="70" s="1"/>
  <c r="AI73" i="70"/>
  <c r="AH73" i="70"/>
  <c r="AG73" i="70"/>
  <c r="AF73" i="70"/>
  <c r="AE73" i="70"/>
  <c r="AD73" i="70"/>
  <c r="AC73" i="70"/>
  <c r="AC78" i="70" s="1"/>
  <c r="AB73" i="70"/>
  <c r="AB78" i="70" s="1"/>
  <c r="AA73" i="70"/>
  <c r="Z73" i="70"/>
  <c r="Z78" i="70" s="1"/>
  <c r="Y73" i="70"/>
  <c r="Y78" i="70" s="1"/>
  <c r="X73" i="70"/>
  <c r="X78" i="70" s="1"/>
  <c r="W73" i="70"/>
  <c r="W78" i="70" s="1"/>
  <c r="V73" i="70"/>
  <c r="V78" i="70" s="1"/>
  <c r="U73" i="70"/>
  <c r="T73" i="70"/>
  <c r="S73" i="70"/>
  <c r="AN72" i="70"/>
  <c r="AM72" i="70"/>
  <c r="AL72" i="70"/>
  <c r="AK72" i="70"/>
  <c r="AJ72" i="70"/>
  <c r="AI72" i="70"/>
  <c r="AH72" i="70"/>
  <c r="AH46" i="70" s="1"/>
  <c r="AG72" i="70"/>
  <c r="AG77" i="70" s="1"/>
  <c r="AF72" i="70"/>
  <c r="AF77" i="70" s="1"/>
  <c r="AE72" i="70"/>
  <c r="AE77" i="70" s="1"/>
  <c r="AD72" i="70"/>
  <c r="AD77" i="70" s="1"/>
  <c r="AC72" i="70"/>
  <c r="AC77" i="70" s="1"/>
  <c r="AB72" i="70"/>
  <c r="AA72" i="70"/>
  <c r="Z72" i="70"/>
  <c r="Y72" i="70"/>
  <c r="X72" i="70"/>
  <c r="W72" i="70"/>
  <c r="V72" i="70"/>
  <c r="U72" i="70"/>
  <c r="T72" i="70"/>
  <c r="T77" i="70" s="1"/>
  <c r="S72" i="70"/>
  <c r="S55" i="70" s="1"/>
  <c r="S56" i="70"/>
  <c r="AL52" i="70"/>
  <c r="AL20" i="70" s="1"/>
  <c r="AC52" i="70"/>
  <c r="AB52" i="70"/>
  <c r="AA52" i="70"/>
  <c r="Z52" i="70"/>
  <c r="Z20" i="70" s="1"/>
  <c r="Z27" i="70" s="1"/>
  <c r="Y52" i="70"/>
  <c r="X52" i="70"/>
  <c r="X20" i="70" s="1"/>
  <c r="X27" i="70" s="1"/>
  <c r="W52" i="70"/>
  <c r="V52" i="70"/>
  <c r="U52" i="70"/>
  <c r="U20" i="70" s="1"/>
  <c r="U27" i="70" s="1"/>
  <c r="T52" i="70"/>
  <c r="S52" i="70"/>
  <c r="R52" i="70"/>
  <c r="Q52" i="70"/>
  <c r="P52" i="70"/>
  <c r="P20" i="70" s="1"/>
  <c r="P27" i="70" s="1"/>
  <c r="O52" i="70"/>
  <c r="N52" i="70"/>
  <c r="M52" i="70"/>
  <c r="L52" i="70"/>
  <c r="L20" i="70" s="1"/>
  <c r="L27" i="70" s="1"/>
  <c r="K52" i="70"/>
  <c r="J52" i="70"/>
  <c r="J20" i="70" s="1"/>
  <c r="I52" i="70"/>
  <c r="H52" i="70"/>
  <c r="G52" i="70"/>
  <c r="G20" i="70" s="1"/>
  <c r="G27" i="70" s="1"/>
  <c r="F52" i="70"/>
  <c r="E52" i="70"/>
  <c r="D52" i="70"/>
  <c r="D20" i="70" s="1"/>
  <c r="D27" i="70" s="1"/>
  <c r="AN51" i="70"/>
  <c r="AN52" i="70" s="1"/>
  <c r="AN20" i="70" s="1"/>
  <c r="AN27" i="70" s="1"/>
  <c r="AM51" i="70"/>
  <c r="AE51" i="70"/>
  <c r="AE52" i="70" s="1"/>
  <c r="AC51" i="70"/>
  <c r="AB51" i="70"/>
  <c r="AA51" i="70"/>
  <c r="Z51" i="70"/>
  <c r="Y51" i="70"/>
  <c r="Y18" i="70" s="1"/>
  <c r="Y26" i="70" s="1"/>
  <c r="X51" i="70"/>
  <c r="W51" i="70"/>
  <c r="V51" i="70"/>
  <c r="U51" i="70"/>
  <c r="U18" i="70" s="1"/>
  <c r="U26" i="70" s="1"/>
  <c r="T51" i="70"/>
  <c r="S51" i="70"/>
  <c r="S18" i="70" s="1"/>
  <c r="R51" i="70"/>
  <c r="Q51" i="70"/>
  <c r="P51" i="70"/>
  <c r="P18" i="70" s="1"/>
  <c r="P26" i="70" s="1"/>
  <c r="O51" i="70"/>
  <c r="N51" i="70"/>
  <c r="M51" i="70"/>
  <c r="L51" i="70"/>
  <c r="K51" i="70"/>
  <c r="K18" i="70" s="1"/>
  <c r="K26" i="70" s="1"/>
  <c r="J51" i="70"/>
  <c r="I51" i="70"/>
  <c r="H51" i="70"/>
  <c r="G51" i="70"/>
  <c r="G18" i="70" s="1"/>
  <c r="G26" i="70" s="1"/>
  <c r="F51" i="70"/>
  <c r="E51" i="70"/>
  <c r="E18" i="70" s="1"/>
  <c r="D51" i="70"/>
  <c r="AN49" i="70"/>
  <c r="AM49" i="70"/>
  <c r="AM16" i="70" s="1"/>
  <c r="AM25" i="70" s="1"/>
  <c r="AL49" i="70"/>
  <c r="AL51" i="70" s="1"/>
  <c r="AL18" i="70" s="1"/>
  <c r="AK49" i="70"/>
  <c r="AK51" i="70" s="1"/>
  <c r="AJ49" i="70"/>
  <c r="AJ51" i="70" s="1"/>
  <c r="AJ52" i="70" s="1"/>
  <c r="AE49" i="70"/>
  <c r="AD49" i="70"/>
  <c r="AC49" i="70"/>
  <c r="AB49" i="70"/>
  <c r="AB16" i="70" s="1"/>
  <c r="AA49" i="70"/>
  <c r="Z49" i="70"/>
  <c r="Y49" i="70"/>
  <c r="Y16" i="70" s="1"/>
  <c r="Y25" i="70" s="1"/>
  <c r="X49" i="70"/>
  <c r="W49" i="70"/>
  <c r="V49" i="70"/>
  <c r="U49" i="70"/>
  <c r="T49" i="70"/>
  <c r="T16" i="70" s="1"/>
  <c r="S49" i="70"/>
  <c r="R49" i="70"/>
  <c r="Q49" i="70"/>
  <c r="P49" i="70"/>
  <c r="P16" i="70" s="1"/>
  <c r="P25" i="70" s="1"/>
  <c r="O49" i="70"/>
  <c r="N49" i="70"/>
  <c r="N16" i="70" s="1"/>
  <c r="N25" i="70" s="1"/>
  <c r="M49" i="70"/>
  <c r="L49" i="70"/>
  <c r="K49" i="70"/>
  <c r="K16" i="70" s="1"/>
  <c r="K25" i="70" s="1"/>
  <c r="J49" i="70"/>
  <c r="I49" i="70"/>
  <c r="H49" i="70"/>
  <c r="G49" i="70"/>
  <c r="F49" i="70"/>
  <c r="F16" i="70" s="1"/>
  <c r="E49" i="70"/>
  <c r="D49" i="70"/>
  <c r="AM48" i="70"/>
  <c r="AM14" i="70" s="1"/>
  <c r="AM24" i="70" s="1"/>
  <c r="AL48" i="70"/>
  <c r="AK48" i="70"/>
  <c r="AK14" i="70" s="1"/>
  <c r="AJ48" i="70"/>
  <c r="AI48" i="70"/>
  <c r="AH48" i="70"/>
  <c r="AH14" i="70" s="1"/>
  <c r="AH24" i="70" s="1"/>
  <c r="AG48" i="70"/>
  <c r="AF48" i="70"/>
  <c r="AE48" i="70"/>
  <c r="AE14" i="70" s="1"/>
  <c r="AE24" i="70" s="1"/>
  <c r="AD48" i="70"/>
  <c r="AC48" i="70"/>
  <c r="AC14" i="70" s="1"/>
  <c r="AC24" i="70" s="1"/>
  <c r="AB48" i="70"/>
  <c r="AA48" i="70"/>
  <c r="Z48" i="70"/>
  <c r="Y48" i="70"/>
  <c r="Y14" i="70" s="1"/>
  <c r="Y24" i="70" s="1"/>
  <c r="X48" i="70"/>
  <c r="W48" i="70"/>
  <c r="W14" i="70" s="1"/>
  <c r="W24" i="70" s="1"/>
  <c r="V48" i="70"/>
  <c r="U48" i="70"/>
  <c r="T48" i="70"/>
  <c r="S48" i="70"/>
  <c r="R48" i="70"/>
  <c r="Q48" i="70"/>
  <c r="P48" i="70"/>
  <c r="O48" i="70"/>
  <c r="O14" i="70" s="1"/>
  <c r="O24" i="70" s="1"/>
  <c r="N48" i="70"/>
  <c r="M48" i="70"/>
  <c r="L48" i="70"/>
  <c r="K48" i="70"/>
  <c r="K14" i="70" s="1"/>
  <c r="K24" i="70" s="1"/>
  <c r="J48" i="70"/>
  <c r="I48" i="70"/>
  <c r="I14" i="70" s="1"/>
  <c r="I24" i="70" s="1"/>
  <c r="H48" i="70"/>
  <c r="G48" i="70"/>
  <c r="F48" i="70"/>
  <c r="F14" i="70" s="1"/>
  <c r="F24" i="70" s="1"/>
  <c r="E48" i="70"/>
  <c r="D48" i="70"/>
  <c r="AN46" i="70"/>
  <c r="AN45" i="70" s="1"/>
  <c r="AN12" i="70" s="1"/>
  <c r="AN23" i="70" s="1"/>
  <c r="AM46" i="70"/>
  <c r="AM45" i="70" s="1"/>
  <c r="AL46" i="70"/>
  <c r="AL45" i="70" s="1"/>
  <c r="AL12" i="70" s="1"/>
  <c r="AL23" i="70" s="1"/>
  <c r="AG46" i="70"/>
  <c r="AF46" i="70"/>
  <c r="AF45" i="70" s="1"/>
  <c r="AF12" i="70" s="1"/>
  <c r="AF23" i="70" s="1"/>
  <c r="AE46" i="70"/>
  <c r="AE45" i="70" s="1"/>
  <c r="AD46" i="70"/>
  <c r="AD45" i="70" s="1"/>
  <c r="AD12" i="70" s="1"/>
  <c r="AD23" i="70" s="1"/>
  <c r="AC46" i="70"/>
  <c r="AB46" i="70"/>
  <c r="AA46" i="70"/>
  <c r="Z46" i="70"/>
  <c r="Y46" i="70"/>
  <c r="X46" i="70"/>
  <c r="W46" i="70"/>
  <c r="V46" i="70"/>
  <c r="U46" i="70"/>
  <c r="T46" i="70"/>
  <c r="S46" i="70"/>
  <c r="R46" i="70"/>
  <c r="Q46" i="70"/>
  <c r="P46" i="70"/>
  <c r="O46" i="70"/>
  <c r="N46" i="70"/>
  <c r="M46" i="70"/>
  <c r="L46" i="70"/>
  <c r="K46" i="70"/>
  <c r="J46" i="70"/>
  <c r="I46" i="70"/>
  <c r="H46" i="70"/>
  <c r="G46" i="70"/>
  <c r="F46" i="70"/>
  <c r="E46" i="70"/>
  <c r="D46" i="70"/>
  <c r="AH45" i="70"/>
  <c r="AH12" i="70" s="1"/>
  <c r="AH23" i="70" s="1"/>
  <c r="AG45" i="70"/>
  <c r="AG12" i="70" s="1"/>
  <c r="AG23" i="70" s="1"/>
  <c r="AC45" i="70"/>
  <c r="AC12" i="70" s="1"/>
  <c r="AC23" i="70" s="1"/>
  <c r="AB45" i="70"/>
  <c r="AB12" i="70" s="1"/>
  <c r="AA45" i="70"/>
  <c r="Z45" i="70"/>
  <c r="Y45" i="70"/>
  <c r="X45" i="70"/>
  <c r="X12" i="70" s="1"/>
  <c r="X23" i="70" s="1"/>
  <c r="W45" i="70"/>
  <c r="V45" i="70"/>
  <c r="U45" i="70"/>
  <c r="T45" i="70"/>
  <c r="T12" i="70" s="1"/>
  <c r="T23" i="70" s="1"/>
  <c r="S45" i="70"/>
  <c r="S12" i="70" s="1"/>
  <c r="S23" i="70" s="1"/>
  <c r="R45" i="70"/>
  <c r="Q45" i="70"/>
  <c r="P45" i="70"/>
  <c r="O45" i="70"/>
  <c r="O12" i="70" s="1"/>
  <c r="O23" i="70" s="1"/>
  <c r="N45" i="70"/>
  <c r="N12" i="70" s="1"/>
  <c r="M45" i="70"/>
  <c r="L45" i="70"/>
  <c r="K45" i="70"/>
  <c r="J45" i="70"/>
  <c r="J12" i="70" s="1"/>
  <c r="J23" i="70" s="1"/>
  <c r="I45" i="70"/>
  <c r="H45" i="70"/>
  <c r="G45" i="70"/>
  <c r="F45" i="70"/>
  <c r="F12" i="70" s="1"/>
  <c r="F23" i="70" s="1"/>
  <c r="E45" i="70"/>
  <c r="D45" i="70"/>
  <c r="AL27" i="70"/>
  <c r="AJ27" i="70"/>
  <c r="AC27" i="70"/>
  <c r="AB27" i="70"/>
  <c r="T27" i="70"/>
  <c r="O27" i="70"/>
  <c r="N27" i="70"/>
  <c r="J27" i="70"/>
  <c r="F27" i="70"/>
  <c r="E27" i="70"/>
  <c r="AL26" i="70"/>
  <c r="AC26" i="70"/>
  <c r="X26" i="70"/>
  <c r="W26" i="70"/>
  <c r="S26" i="70"/>
  <c r="O26" i="70"/>
  <c r="N26" i="70"/>
  <c r="J26" i="70"/>
  <c r="I26" i="70"/>
  <c r="E26" i="70"/>
  <c r="AL25" i="70"/>
  <c r="AB25" i="70"/>
  <c r="Z25" i="70"/>
  <c r="X25" i="70"/>
  <c r="W25" i="70"/>
  <c r="T25" i="70"/>
  <c r="S25" i="70"/>
  <c r="R25" i="70"/>
  <c r="J25" i="70"/>
  <c r="F25" i="70"/>
  <c r="E25" i="70"/>
  <c r="D25" i="70"/>
  <c r="AK24" i="70"/>
  <c r="AG24" i="70"/>
  <c r="AB24" i="70"/>
  <c r="AA24" i="70"/>
  <c r="U24" i="70"/>
  <c r="S24" i="70"/>
  <c r="N24" i="70"/>
  <c r="M24" i="70"/>
  <c r="G24" i="70"/>
  <c r="E24" i="70"/>
  <c r="D24" i="70"/>
  <c r="AB23" i="70"/>
  <c r="W23" i="70"/>
  <c r="V23" i="70"/>
  <c r="R23" i="70"/>
  <c r="P23" i="70"/>
  <c r="N23" i="70"/>
  <c r="M23" i="70"/>
  <c r="I23" i="70"/>
  <c r="H23" i="70"/>
  <c r="D23" i="70"/>
  <c r="AJ20" i="70"/>
  <c r="AE20" i="70"/>
  <c r="AE27" i="70" s="1"/>
  <c r="AC20" i="70"/>
  <c r="AB20" i="70"/>
  <c r="AA20" i="70"/>
  <c r="AA27" i="70" s="1"/>
  <c r="Y20" i="70"/>
  <c r="Y27" i="70" s="1"/>
  <c r="W20" i="70"/>
  <c r="W27" i="70" s="1"/>
  <c r="V20" i="70"/>
  <c r="V27" i="70" s="1"/>
  <c r="T20" i="70"/>
  <c r="S20" i="70"/>
  <c r="S27" i="70" s="1"/>
  <c r="R20" i="70"/>
  <c r="R27" i="70" s="1"/>
  <c r="Q20" i="70"/>
  <c r="Q27" i="70" s="1"/>
  <c r="O20" i="70"/>
  <c r="N20" i="70"/>
  <c r="M20" i="70"/>
  <c r="M27" i="70" s="1"/>
  <c r="K20" i="70"/>
  <c r="K27" i="70" s="1"/>
  <c r="I20" i="70"/>
  <c r="I27" i="70" s="1"/>
  <c r="H20" i="70"/>
  <c r="H27" i="70" s="1"/>
  <c r="F20" i="70"/>
  <c r="E20" i="70"/>
  <c r="AN18" i="70"/>
  <c r="AN26" i="70" s="1"/>
  <c r="AJ18" i="70"/>
  <c r="AJ26" i="70" s="1"/>
  <c r="AE18" i="70"/>
  <c r="AE26" i="70" s="1"/>
  <c r="AC18" i="70"/>
  <c r="AB18" i="70"/>
  <c r="AB26" i="70" s="1"/>
  <c r="AA18" i="70"/>
  <c r="AA26" i="70" s="1"/>
  <c r="Z18" i="70"/>
  <c r="Z26" i="70" s="1"/>
  <c r="X18" i="70"/>
  <c r="W18" i="70"/>
  <c r="V18" i="70"/>
  <c r="V26" i="70" s="1"/>
  <c r="T18" i="70"/>
  <c r="T26" i="70" s="1"/>
  <c r="R18" i="70"/>
  <c r="R26" i="70" s="1"/>
  <c r="Q18" i="70"/>
  <c r="Q26" i="70" s="1"/>
  <c r="O18" i="70"/>
  <c r="N18" i="70"/>
  <c r="M18" i="70"/>
  <c r="M26" i="70" s="1"/>
  <c r="L18" i="70"/>
  <c r="L26" i="70" s="1"/>
  <c r="J18" i="70"/>
  <c r="I18" i="70"/>
  <c r="H18" i="70"/>
  <c r="H26" i="70" s="1"/>
  <c r="F18" i="70"/>
  <c r="F26" i="70" s="1"/>
  <c r="D18" i="70"/>
  <c r="D26" i="70" s="1"/>
  <c r="AN16" i="70"/>
  <c r="AN25" i="70" s="1"/>
  <c r="AL16" i="70"/>
  <c r="AK16" i="70"/>
  <c r="AK25" i="70" s="1"/>
  <c r="AJ16" i="70"/>
  <c r="AJ25" i="70" s="1"/>
  <c r="AE16" i="70"/>
  <c r="AE25" i="70" s="1"/>
  <c r="AC16" i="70"/>
  <c r="AC25" i="70" s="1"/>
  <c r="AA16" i="70"/>
  <c r="AA25" i="70" s="1"/>
  <c r="Z16" i="70"/>
  <c r="X16" i="70"/>
  <c r="W16" i="70"/>
  <c r="V16" i="70"/>
  <c r="V25" i="70" s="1"/>
  <c r="U16" i="70"/>
  <c r="U25" i="70" s="1"/>
  <c r="S16" i="70"/>
  <c r="R16" i="70"/>
  <c r="Q16" i="70"/>
  <c r="Q25" i="70" s="1"/>
  <c r="O16" i="70"/>
  <c r="O25" i="70" s="1"/>
  <c r="M16" i="70"/>
  <c r="M25" i="70" s="1"/>
  <c r="L16" i="70"/>
  <c r="L25" i="70" s="1"/>
  <c r="J16" i="70"/>
  <c r="I16" i="70"/>
  <c r="I25" i="70" s="1"/>
  <c r="H16" i="70"/>
  <c r="H25" i="70" s="1"/>
  <c r="G16" i="70"/>
  <c r="G25" i="70" s="1"/>
  <c r="E16" i="70"/>
  <c r="D16" i="70"/>
  <c r="AL14" i="70"/>
  <c r="AL24" i="70" s="1"/>
  <c r="AJ14" i="70"/>
  <c r="AJ24" i="70" s="1"/>
  <c r="AI14" i="70"/>
  <c r="AI24" i="70" s="1"/>
  <c r="AG14" i="70"/>
  <c r="AF14" i="70"/>
  <c r="AF24" i="70" s="1"/>
  <c r="AD14" i="70"/>
  <c r="AD24" i="70" s="1"/>
  <c r="AB14" i="70"/>
  <c r="AA14" i="70"/>
  <c r="Z14" i="70"/>
  <c r="Z24" i="70" s="1"/>
  <c r="X14" i="70"/>
  <c r="X24" i="70" s="1"/>
  <c r="V14" i="70"/>
  <c r="V24" i="70" s="1"/>
  <c r="U14" i="70"/>
  <c r="S14" i="70"/>
  <c r="R14" i="70"/>
  <c r="R24" i="70" s="1"/>
  <c r="Q14" i="70"/>
  <c r="Q24" i="70" s="1"/>
  <c r="P14" i="70"/>
  <c r="P24" i="70" s="1"/>
  <c r="N14" i="70"/>
  <c r="M14" i="70"/>
  <c r="L14" i="70"/>
  <c r="L24" i="70" s="1"/>
  <c r="J14" i="70"/>
  <c r="J24" i="70" s="1"/>
  <c r="H14" i="70"/>
  <c r="H24" i="70" s="1"/>
  <c r="G14" i="70"/>
  <c r="E14" i="70"/>
  <c r="D14" i="70"/>
  <c r="AM12" i="70"/>
  <c r="AM23" i="70" s="1"/>
  <c r="AE12" i="70"/>
  <c r="AE23" i="70" s="1"/>
  <c r="D2" i="71" s="1"/>
  <c r="AA12" i="70"/>
  <c r="AA23" i="70" s="1"/>
  <c r="Z12" i="70"/>
  <c r="Z23" i="70" s="1"/>
  <c r="Y12" i="70"/>
  <c r="Y23" i="70" s="1"/>
  <c r="W12" i="70"/>
  <c r="V12" i="70"/>
  <c r="U12" i="70"/>
  <c r="U23" i="70" s="1"/>
  <c r="R12" i="70"/>
  <c r="Q12" i="70"/>
  <c r="Q23" i="70" s="1"/>
  <c r="P12" i="70"/>
  <c r="M12" i="70"/>
  <c r="L12" i="70"/>
  <c r="L23" i="70" s="1"/>
  <c r="K12" i="70"/>
  <c r="K23" i="70" s="1"/>
  <c r="I12" i="70"/>
  <c r="H12" i="70"/>
  <c r="G12" i="70"/>
  <c r="G23" i="70" s="1"/>
  <c r="E12" i="70"/>
  <c r="E23" i="70" s="1"/>
  <c r="D12" i="70"/>
  <c r="AC134" i="48"/>
  <c r="AB134" i="48"/>
  <c r="AA134" i="48"/>
  <c r="Z134" i="48"/>
  <c r="Y134" i="48"/>
  <c r="X134" i="48"/>
  <c r="W134" i="48"/>
  <c r="V134" i="48"/>
  <c r="U134" i="48"/>
  <c r="T134" i="48"/>
  <c r="S134" i="48"/>
  <c r="R134" i="48"/>
  <c r="Q134" i="48"/>
  <c r="P134" i="48"/>
  <c r="O134" i="48"/>
  <c r="N134" i="48"/>
  <c r="M134" i="48"/>
  <c r="L134" i="48"/>
  <c r="K134" i="48"/>
  <c r="J134" i="48"/>
  <c r="I134" i="48"/>
  <c r="H134" i="48"/>
  <c r="H152" i="48" s="1"/>
  <c r="G134" i="48"/>
  <c r="F134" i="48"/>
  <c r="G152" i="48" s="1"/>
  <c r="AC133" i="48"/>
  <c r="AB133" i="48"/>
  <c r="AA133" i="48"/>
  <c r="Z133" i="48"/>
  <c r="Y133" i="48"/>
  <c r="X133" i="48"/>
  <c r="W133" i="48"/>
  <c r="V133" i="48"/>
  <c r="U133" i="48"/>
  <c r="T133" i="48"/>
  <c r="S133" i="48"/>
  <c r="R133" i="48"/>
  <c r="R151" i="48" s="1"/>
  <c r="Q133" i="48"/>
  <c r="P133" i="48"/>
  <c r="O133" i="48"/>
  <c r="N133" i="48"/>
  <c r="N151" i="48" s="1"/>
  <c r="M133" i="48"/>
  <c r="L133" i="48"/>
  <c r="K133" i="48"/>
  <c r="J133" i="48"/>
  <c r="I133" i="48"/>
  <c r="H133" i="48"/>
  <c r="G133" i="48"/>
  <c r="F133" i="48"/>
  <c r="AC131" i="48"/>
  <c r="AB131" i="48"/>
  <c r="AA131" i="48"/>
  <c r="Z131" i="48"/>
  <c r="Y131" i="48"/>
  <c r="X131" i="48"/>
  <c r="W131" i="48"/>
  <c r="V131" i="48"/>
  <c r="U131" i="48"/>
  <c r="T131" i="48"/>
  <c r="S131" i="48"/>
  <c r="R131" i="48"/>
  <c r="Q131" i="48"/>
  <c r="P131" i="48"/>
  <c r="O131" i="48"/>
  <c r="N131" i="48"/>
  <c r="M131" i="48"/>
  <c r="L131" i="48"/>
  <c r="L149" i="48" s="1"/>
  <c r="K131" i="48"/>
  <c r="J131" i="48"/>
  <c r="I131" i="48"/>
  <c r="H131" i="48"/>
  <c r="G131" i="48"/>
  <c r="F131" i="48"/>
  <c r="AC130" i="48"/>
  <c r="AB130" i="48"/>
  <c r="AA130" i="48"/>
  <c r="Z130" i="48"/>
  <c r="Y130" i="48"/>
  <c r="X130" i="48"/>
  <c r="W130" i="48"/>
  <c r="V130" i="48"/>
  <c r="U130" i="48"/>
  <c r="T130" i="48"/>
  <c r="S130" i="48"/>
  <c r="R130" i="48"/>
  <c r="Q130" i="48"/>
  <c r="P130" i="48"/>
  <c r="O130" i="48"/>
  <c r="N130" i="48"/>
  <c r="M130" i="48"/>
  <c r="N148" i="48" s="1"/>
  <c r="L130" i="48"/>
  <c r="K130" i="48"/>
  <c r="J130" i="48"/>
  <c r="J148" i="48" s="1"/>
  <c r="I130" i="48"/>
  <c r="H130" i="48"/>
  <c r="H148" i="48" s="1"/>
  <c r="G130" i="48"/>
  <c r="F130" i="48"/>
  <c r="AC129" i="48"/>
  <c r="AB129" i="48"/>
  <c r="AA129" i="48"/>
  <c r="Z129" i="48"/>
  <c r="Y129" i="48"/>
  <c r="X129" i="48"/>
  <c r="W129" i="48"/>
  <c r="V129" i="48"/>
  <c r="U129" i="48"/>
  <c r="T129" i="48"/>
  <c r="S129" i="48"/>
  <c r="R129" i="48"/>
  <c r="R147" i="48" s="1"/>
  <c r="Q129" i="48"/>
  <c r="P129" i="48"/>
  <c r="O129" i="48"/>
  <c r="N129" i="48"/>
  <c r="M129" i="48"/>
  <c r="L129" i="48"/>
  <c r="K129" i="48"/>
  <c r="J129" i="48"/>
  <c r="I129" i="48"/>
  <c r="H129" i="48"/>
  <c r="G129" i="48"/>
  <c r="F129" i="48"/>
  <c r="AC128" i="48"/>
  <c r="AC132" i="48" s="1"/>
  <c r="AB128" i="48"/>
  <c r="AB132" i="48" s="1"/>
  <c r="AA128" i="48"/>
  <c r="AA132" i="48" s="1"/>
  <c r="Z128" i="48"/>
  <c r="Z132" i="48" s="1"/>
  <c r="Y128" i="48"/>
  <c r="Y132" i="48" s="1"/>
  <c r="X128" i="48"/>
  <c r="X132" i="48" s="1"/>
  <c r="W128" i="48"/>
  <c r="V128" i="48"/>
  <c r="U128" i="48"/>
  <c r="U132" i="48" s="1"/>
  <c r="T128" i="48"/>
  <c r="S128" i="48"/>
  <c r="R128" i="48"/>
  <c r="Q128" i="48"/>
  <c r="Q132" i="48" s="1"/>
  <c r="P128" i="48"/>
  <c r="P132" i="48" s="1"/>
  <c r="O128" i="48"/>
  <c r="N128" i="48"/>
  <c r="N132" i="48" s="1"/>
  <c r="M128" i="48"/>
  <c r="M132" i="48" s="1"/>
  <c r="L128" i="48"/>
  <c r="L132" i="48" s="1"/>
  <c r="K128" i="48"/>
  <c r="K132" i="48" s="1"/>
  <c r="J128" i="48"/>
  <c r="I128" i="48"/>
  <c r="I132" i="48" s="1"/>
  <c r="H128" i="48"/>
  <c r="G128" i="48"/>
  <c r="F128" i="48"/>
  <c r="AN109" i="48"/>
  <c r="AM109" i="48"/>
  <c r="AL109" i="48"/>
  <c r="AK109" i="48"/>
  <c r="AJ109" i="48"/>
  <c r="AI109" i="48"/>
  <c r="AH109"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M96" i="48"/>
  <c r="L96" i="48"/>
  <c r="K96" i="48"/>
  <c r="J96" i="48"/>
  <c r="I96" i="48"/>
  <c r="H96" i="48"/>
  <c r="G96" i="48"/>
  <c r="F96" i="48"/>
  <c r="E96" i="48"/>
  <c r="M94" i="48"/>
  <c r="L94" i="48"/>
  <c r="K94" i="48"/>
  <c r="J94" i="48"/>
  <c r="I94" i="48"/>
  <c r="H94" i="48"/>
  <c r="G94" i="48"/>
  <c r="F94" i="48"/>
  <c r="E94" i="48"/>
  <c r="M93" i="48"/>
  <c r="L93" i="48"/>
  <c r="K93" i="48"/>
  <c r="J93" i="48"/>
  <c r="I93" i="48"/>
  <c r="H93" i="48"/>
  <c r="G93" i="48"/>
  <c r="F93" i="48"/>
  <c r="E93" i="48"/>
  <c r="F81" i="48"/>
  <c r="E81" i="48"/>
  <c r="F79" i="48"/>
  <c r="E79" i="48"/>
  <c r="F78" i="48"/>
  <c r="E78" i="48"/>
  <c r="V63" i="48"/>
  <c r="U63" i="48"/>
  <c r="T63" i="48"/>
  <c r="S63" i="48"/>
  <c r="R63" i="48"/>
  <c r="Q63" i="48"/>
  <c r="P63" i="48"/>
  <c r="O63" i="48"/>
  <c r="N63" i="48"/>
  <c r="M63" i="48"/>
  <c r="M95" i="48" s="1"/>
  <c r="L63" i="48"/>
  <c r="L95" i="48" s="1"/>
  <c r="K63" i="48"/>
  <c r="K95" i="48" s="1"/>
  <c r="J63" i="48"/>
  <c r="J95" i="48" s="1"/>
  <c r="I63" i="48"/>
  <c r="I95" i="48" s="1"/>
  <c r="H63" i="48"/>
  <c r="H95" i="48" s="1"/>
  <c r="G63" i="48"/>
  <c r="G95" i="48" s="1"/>
  <c r="F63" i="48"/>
  <c r="F95" i="48" s="1"/>
  <c r="E63" i="48"/>
  <c r="E95" i="48" s="1"/>
  <c r="U61" i="48"/>
  <c r="T61" i="48"/>
  <c r="S61" i="48"/>
  <c r="R61" i="48"/>
  <c r="Q61" i="48"/>
  <c r="P61" i="48"/>
  <c r="O61" i="48"/>
  <c r="L61" i="48"/>
  <c r="K61" i="48"/>
  <c r="J61" i="48"/>
  <c r="I61" i="48"/>
  <c r="H61" i="48"/>
  <c r="M61" i="48"/>
  <c r="AJ53" i="48"/>
  <c r="AI53" i="48"/>
  <c r="AH53" i="48"/>
  <c r="AJ50" i="48"/>
  <c r="AI50" i="48"/>
  <c r="AH50" i="48"/>
  <c r="AG50" i="48"/>
  <c r="AF50" i="48"/>
  <c r="AE50" i="48"/>
  <c r="AD50" i="48"/>
  <c r="AC50" i="48"/>
  <c r="AB50" i="48"/>
  <c r="AA50" i="48"/>
  <c r="Z50" i="48"/>
  <c r="Y50" i="48"/>
  <c r="AC27" i="48"/>
  <c r="AB27" i="48"/>
  <c r="AA27" i="48"/>
  <c r="Z27" i="48"/>
  <c r="Y27" i="48"/>
  <c r="X27" i="48"/>
  <c r="W27" i="48"/>
  <c r="V27" i="48"/>
  <c r="U27" i="48"/>
  <c r="U139" i="48" s="1"/>
  <c r="T27" i="48"/>
  <c r="T139" i="48" s="1"/>
  <c r="S27" i="48"/>
  <c r="S139" i="48" s="1"/>
  <c r="R27" i="48"/>
  <c r="Q27" i="48"/>
  <c r="P27" i="48"/>
  <c r="O27" i="48"/>
  <c r="N27" i="48"/>
  <c r="M27" i="48"/>
  <c r="L27" i="48"/>
  <c r="K27" i="48"/>
  <c r="J27" i="48"/>
  <c r="I27" i="48"/>
  <c r="H27" i="48"/>
  <c r="H139" i="48" s="1"/>
  <c r="G27" i="48"/>
  <c r="G139" i="48" s="1"/>
  <c r="F27" i="48"/>
  <c r="F139" i="48" s="1"/>
  <c r="AC26" i="48"/>
  <c r="AC138" i="48" s="1"/>
  <c r="AD138" i="48" s="1"/>
  <c r="AB26" i="48"/>
  <c r="AA26" i="48"/>
  <c r="Z26" i="48"/>
  <c r="Y26" i="48"/>
  <c r="X26" i="48"/>
  <c r="W26" i="48"/>
  <c r="V26" i="48"/>
  <c r="U26" i="48"/>
  <c r="T26" i="48"/>
  <c r="S26" i="48"/>
  <c r="R26" i="48"/>
  <c r="Q26" i="48"/>
  <c r="P26" i="48"/>
  <c r="O26" i="48"/>
  <c r="O138" i="48" s="1"/>
  <c r="N26" i="48"/>
  <c r="M26" i="48"/>
  <c r="L26" i="48"/>
  <c r="K26" i="48"/>
  <c r="J26" i="48"/>
  <c r="I26" i="48"/>
  <c r="H26" i="48"/>
  <c r="G26" i="48"/>
  <c r="F26" i="48"/>
  <c r="F138" i="48" s="1"/>
  <c r="AC25" i="48"/>
  <c r="AB25" i="48"/>
  <c r="AA25" i="48"/>
  <c r="Z25" i="48"/>
  <c r="Y25" i="48"/>
  <c r="X25" i="48"/>
  <c r="W25" i="48"/>
  <c r="V25" i="48"/>
  <c r="U25" i="48"/>
  <c r="T25" i="48"/>
  <c r="S25" i="48"/>
  <c r="R25" i="48"/>
  <c r="Q25" i="48"/>
  <c r="P25" i="48"/>
  <c r="O25" i="48"/>
  <c r="N25" i="48"/>
  <c r="N137" i="48" s="1"/>
  <c r="M25" i="48"/>
  <c r="L25" i="48"/>
  <c r="K25" i="48"/>
  <c r="J25" i="48"/>
  <c r="I25" i="48"/>
  <c r="H25" i="48"/>
  <c r="G25" i="48"/>
  <c r="F25" i="48"/>
  <c r="AN24" i="48"/>
  <c r="AM24" i="48"/>
  <c r="AL24" i="48"/>
  <c r="AK24" i="48"/>
  <c r="AJ24" i="48"/>
  <c r="AI24" i="48"/>
  <c r="AH24" i="48"/>
  <c r="AG24" i="48"/>
  <c r="AF24" i="48"/>
  <c r="AE24" i="48"/>
  <c r="AD24" i="48"/>
  <c r="AC24" i="48"/>
  <c r="AB24" i="48"/>
  <c r="AA24" i="48"/>
  <c r="Z24" i="48"/>
  <c r="AC23" i="48"/>
  <c r="AB23" i="48"/>
  <c r="AA23" i="48"/>
  <c r="Z23" i="48"/>
  <c r="Y23" i="48"/>
  <c r="X23" i="48"/>
  <c r="W23" i="48"/>
  <c r="V23" i="48"/>
  <c r="U23" i="48"/>
  <c r="T23" i="48"/>
  <c r="S23" i="48"/>
  <c r="R23" i="48"/>
  <c r="Q23" i="48"/>
  <c r="P23" i="48"/>
  <c r="O23" i="48"/>
  <c r="N23" i="48"/>
  <c r="M23" i="48"/>
  <c r="L23" i="48"/>
  <c r="K23" i="48"/>
  <c r="J23" i="48"/>
  <c r="I23" i="48"/>
  <c r="H23" i="48"/>
  <c r="G23" i="48"/>
  <c r="F23" i="48"/>
  <c r="AC17" i="48"/>
  <c r="AB17" i="48"/>
  <c r="AA17" i="48"/>
  <c r="Z17" i="48"/>
  <c r="Y17" i="48"/>
  <c r="X17" i="48"/>
  <c r="X124" i="48" s="1"/>
  <c r="W17" i="48"/>
  <c r="W124" i="48" s="1"/>
  <c r="V17" i="48"/>
  <c r="U17" i="48"/>
  <c r="U124" i="48" s="1"/>
  <c r="T17" i="48"/>
  <c r="T124" i="48" s="1"/>
  <c r="S17" i="48"/>
  <c r="S124" i="48" s="1"/>
  <c r="R17" i="48"/>
  <c r="R124" i="48" s="1"/>
  <c r="Q17" i="48"/>
  <c r="P17" i="48"/>
  <c r="O17" i="48"/>
  <c r="N17" i="48"/>
  <c r="M17" i="48"/>
  <c r="L17" i="48"/>
  <c r="H37" i="48" s="1"/>
  <c r="K17" i="48"/>
  <c r="J17" i="48"/>
  <c r="J124" i="48" s="1"/>
  <c r="I17" i="48"/>
  <c r="I124" i="48" s="1"/>
  <c r="H17" i="48"/>
  <c r="G17" i="48"/>
  <c r="F17" i="48"/>
  <c r="AC15" i="48"/>
  <c r="AC123" i="48" s="1"/>
  <c r="AD123" i="48" s="1"/>
  <c r="AE123" i="48" s="1"/>
  <c r="AF123" i="48" s="1"/>
  <c r="AG123" i="48" s="1"/>
  <c r="AH123" i="48" s="1"/>
  <c r="AI123" i="48" s="1"/>
  <c r="AJ123" i="48" s="1"/>
  <c r="AK123" i="48" s="1"/>
  <c r="AL123" i="48" s="1"/>
  <c r="AM123" i="48" s="1"/>
  <c r="AN123" i="48" s="1"/>
  <c r="AB15" i="48"/>
  <c r="AB123" i="48" s="1"/>
  <c r="AA15" i="48"/>
  <c r="Z15" i="48"/>
  <c r="Y15" i="48"/>
  <c r="X15" i="48"/>
  <c r="W15" i="48"/>
  <c r="V15" i="48"/>
  <c r="U15" i="48"/>
  <c r="T15" i="48"/>
  <c r="T123" i="48" s="1"/>
  <c r="S15" i="48"/>
  <c r="S123" i="48" s="1"/>
  <c r="R15" i="48"/>
  <c r="Q15" i="48"/>
  <c r="P15" i="48"/>
  <c r="P123" i="48" s="1"/>
  <c r="O15" i="48"/>
  <c r="O123" i="48" s="1"/>
  <c r="N15" i="48"/>
  <c r="M15" i="48"/>
  <c r="L15" i="48"/>
  <c r="K15" i="48"/>
  <c r="J15" i="48"/>
  <c r="I15" i="48"/>
  <c r="H15" i="48"/>
  <c r="G36" i="48" s="1"/>
  <c r="G73" i="48" s="1"/>
  <c r="G15" i="48"/>
  <c r="F15" i="48"/>
  <c r="AC13" i="48"/>
  <c r="AB13" i="48"/>
  <c r="AA13" i="48"/>
  <c r="Z13" i="48"/>
  <c r="Y13" i="48"/>
  <c r="X13" i="48"/>
  <c r="W13" i="48"/>
  <c r="V13" i="48"/>
  <c r="U13" i="48"/>
  <c r="T13" i="48"/>
  <c r="S13" i="48"/>
  <c r="R13" i="48"/>
  <c r="Q13" i="48"/>
  <c r="Q122" i="48" s="1"/>
  <c r="P13" i="48"/>
  <c r="O13" i="48"/>
  <c r="N13" i="48"/>
  <c r="M13" i="48"/>
  <c r="L13" i="48"/>
  <c r="K13" i="48"/>
  <c r="J13" i="48"/>
  <c r="I13" i="48"/>
  <c r="H13" i="48"/>
  <c r="G13" i="48"/>
  <c r="F13" i="48"/>
  <c r="AC10" i="48"/>
  <c r="AB10" i="48"/>
  <c r="AA10" i="48"/>
  <c r="Z10" i="48"/>
  <c r="Y10" i="48"/>
  <c r="X10" i="48"/>
  <c r="W10" i="48"/>
  <c r="V10" i="48"/>
  <c r="U10" i="48"/>
  <c r="T10" i="48"/>
  <c r="S10" i="48"/>
  <c r="R10" i="48"/>
  <c r="R29" i="48" s="1"/>
  <c r="Q10" i="48"/>
  <c r="P10" i="48"/>
  <c r="O10" i="48"/>
  <c r="N10" i="48"/>
  <c r="M10" i="48"/>
  <c r="L10" i="48"/>
  <c r="K10" i="48"/>
  <c r="J10" i="48"/>
  <c r="I10" i="48"/>
  <c r="H10" i="48"/>
  <c r="G10" i="48"/>
  <c r="F10" i="48"/>
  <c r="F81" i="78"/>
  <c r="N31" i="78" s="1"/>
  <c r="F66" i="78"/>
  <c r="F63" i="78"/>
  <c r="F60" i="78"/>
  <c r="F57" i="78"/>
  <c r="F54" i="78"/>
  <c r="J52" i="78"/>
  <c r="K51" i="78"/>
  <c r="L51" i="78" s="1"/>
  <c r="F51" i="78"/>
  <c r="L50" i="78"/>
  <c r="K50" i="78"/>
  <c r="L49" i="78"/>
  <c r="K49" i="78"/>
  <c r="M48" i="78"/>
  <c r="N48" i="78" s="1"/>
  <c r="K48" i="78"/>
  <c r="L48" i="78" s="1"/>
  <c r="F48" i="78"/>
  <c r="K47" i="78"/>
  <c r="N46" i="78"/>
  <c r="M46" i="78"/>
  <c r="L46" i="78"/>
  <c r="K46" i="78"/>
  <c r="K45" i="78"/>
  <c r="F45" i="78"/>
  <c r="M44" i="78"/>
  <c r="N44" i="78" s="1"/>
  <c r="L44" i="78"/>
  <c r="K44" i="78"/>
  <c r="L43" i="78"/>
  <c r="K43" i="78"/>
  <c r="M43" i="78" s="1"/>
  <c r="N43" i="78" s="1"/>
  <c r="M42" i="78"/>
  <c r="N42" i="78" s="1"/>
  <c r="K42" i="78"/>
  <c r="L42" i="78" s="1"/>
  <c r="F42" i="78"/>
  <c r="K41" i="78"/>
  <c r="M41" i="78" s="1"/>
  <c r="N41" i="78" s="1"/>
  <c r="L40" i="78"/>
  <c r="K40" i="78"/>
  <c r="M40" i="78" s="1"/>
  <c r="N40" i="78" s="1"/>
  <c r="K39" i="78"/>
  <c r="M39" i="78" s="1"/>
  <c r="N39" i="78" s="1"/>
  <c r="F39" i="78"/>
  <c r="M38" i="78"/>
  <c r="N38" i="78" s="1"/>
  <c r="K38" i="78"/>
  <c r="L38" i="78" s="1"/>
  <c r="N37" i="78"/>
  <c r="M37" i="78"/>
  <c r="L37" i="78"/>
  <c r="K37" i="78"/>
  <c r="M36" i="78"/>
  <c r="N36" i="78" s="1"/>
  <c r="L36" i="78"/>
  <c r="K36" i="78"/>
  <c r="F36" i="78"/>
  <c r="M35" i="78"/>
  <c r="N35" i="78" s="1"/>
  <c r="K35" i="78"/>
  <c r="L35" i="78" s="1"/>
  <c r="N34" i="78"/>
  <c r="M34" i="78"/>
  <c r="N33" i="78"/>
  <c r="M33" i="78"/>
  <c r="F33" i="78"/>
  <c r="N32" i="78"/>
  <c r="B32" i="78"/>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M30" i="78"/>
  <c r="N30" i="78" s="1"/>
  <c r="F30" i="78"/>
  <c r="M29" i="78"/>
  <c r="N29" i="78" s="1"/>
  <c r="N28" i="78"/>
  <c r="M28" i="78"/>
  <c r="M27" i="78"/>
  <c r="N27" i="78" s="1"/>
  <c r="F27" i="78"/>
  <c r="B27" i="78"/>
  <c r="B28" i="78" s="1"/>
  <c r="B29" i="78" s="1"/>
  <c r="B30" i="78" s="1"/>
  <c r="B31" i="78" s="1"/>
  <c r="AK18" i="78"/>
  <c r="AL18" i="78" s="1"/>
  <c r="AM18" i="78" s="1"/>
  <c r="AN18" i="78" s="1"/>
  <c r="AH18" i="78"/>
  <c r="AI18" i="78" s="1"/>
  <c r="AJ18" i="78" s="1"/>
  <c r="AM14" i="78"/>
  <c r="AL14" i="78"/>
  <c r="AK14" i="78"/>
  <c r="AA14" i="78"/>
  <c r="Y14" i="78"/>
  <c r="X14" i="78"/>
  <c r="W14" i="78"/>
  <c r="T14" i="78"/>
  <c r="AN13" i="78"/>
  <c r="AN14" i="78" s="1"/>
  <c r="AM13" i="78"/>
  <c r="AL13" i="78"/>
  <c r="AK13" i="78"/>
  <c r="AI13" i="78"/>
  <c r="AI14" i="78" s="1"/>
  <c r="AH13" i="78"/>
  <c r="AH14" i="78" s="1"/>
  <c r="AG13" i="78"/>
  <c r="AG14" i="78" s="1"/>
  <c r="AF13" i="78"/>
  <c r="AF14" i="78" s="1"/>
  <c r="AE13" i="78"/>
  <c r="AE14" i="78" s="1"/>
  <c r="AD13" i="78"/>
  <c r="AD14" i="78" s="1"/>
  <c r="AC13" i="78"/>
  <c r="AC14" i="78" s="1"/>
  <c r="AB13" i="78"/>
  <c r="AB14" i="78" s="1"/>
  <c r="AA13" i="78"/>
  <c r="Z13" i="78"/>
  <c r="Z14" i="78" s="1"/>
  <c r="Y13" i="78"/>
  <c r="X13" i="78"/>
  <c r="W13" i="78"/>
  <c r="U13" i="78"/>
  <c r="U14" i="78" s="1"/>
  <c r="T13" i="78"/>
  <c r="S13" i="78"/>
  <c r="S14" i="78" s="1"/>
  <c r="AA19" i="77"/>
  <c r="X15" i="77"/>
  <c r="AA7" i="77"/>
  <c r="Z7" i="77"/>
  <c r="Z19" i="77" s="1"/>
  <c r="X7" i="77"/>
  <c r="X16" i="77" s="1"/>
  <c r="X19" i="77" s="1"/>
  <c r="Q7" i="77"/>
  <c r="F130" i="75"/>
  <c r="V106" i="75"/>
  <c r="V105" i="75"/>
  <c r="U105" i="75"/>
  <c r="T105" i="75"/>
  <c r="U104" i="75" s="1"/>
  <c r="U106" i="75" s="1"/>
  <c r="S105" i="75"/>
  <c r="R105" i="75"/>
  <c r="Q105" i="75"/>
  <c r="P105" i="75"/>
  <c r="O105" i="75"/>
  <c r="N105" i="75"/>
  <c r="M105" i="75"/>
  <c r="L105" i="75"/>
  <c r="K105" i="75"/>
  <c r="J105" i="75"/>
  <c r="I105" i="75"/>
  <c r="H105" i="75"/>
  <c r="G105" i="75"/>
  <c r="F105" i="75"/>
  <c r="E105" i="75"/>
  <c r="D105" i="75"/>
  <c r="W104" i="75"/>
  <c r="W106" i="75" s="1"/>
  <c r="W105" i="75" s="1"/>
  <c r="V104" i="75"/>
  <c r="AG99" i="75"/>
  <c r="AF99" i="75"/>
  <c r="AE99" i="75"/>
  <c r="AD99" i="75"/>
  <c r="V96" i="75"/>
  <c r="U96" i="75"/>
  <c r="T96" i="75"/>
  <c r="S96" i="75"/>
  <c r="R96" i="75"/>
  <c r="Q96" i="75"/>
  <c r="P96" i="75"/>
  <c r="O96" i="75"/>
  <c r="N96" i="75"/>
  <c r="M96" i="75"/>
  <c r="L96" i="75"/>
  <c r="K96" i="75"/>
  <c r="J96" i="75"/>
  <c r="I96" i="75"/>
  <c r="H96" i="75"/>
  <c r="G96" i="75"/>
  <c r="F96" i="75"/>
  <c r="E96" i="75"/>
  <c r="D96" i="75"/>
  <c r="V87" i="75"/>
  <c r="R87" i="75"/>
  <c r="Q87" i="75"/>
  <c r="N87" i="75"/>
  <c r="M87" i="75"/>
  <c r="L87" i="75"/>
  <c r="J87" i="75"/>
  <c r="V86" i="75"/>
  <c r="U86" i="75"/>
  <c r="U87" i="75" s="1"/>
  <c r="T86" i="75"/>
  <c r="T87" i="75" s="1"/>
  <c r="S86" i="75"/>
  <c r="S87" i="75" s="1"/>
  <c r="R86" i="75"/>
  <c r="Q86" i="75"/>
  <c r="P86" i="75"/>
  <c r="P87" i="75" s="1"/>
  <c r="O86" i="75"/>
  <c r="O87" i="75" s="1"/>
  <c r="N86" i="75"/>
  <c r="M86" i="75"/>
  <c r="M85" i="75" s="1"/>
  <c r="L86" i="75"/>
  <c r="L85" i="75" s="1"/>
  <c r="K86" i="75"/>
  <c r="J86" i="75"/>
  <c r="J85" i="75" s="1"/>
  <c r="I86" i="75"/>
  <c r="I85" i="75" s="1"/>
  <c r="I24" i="75" s="1"/>
  <c r="H86" i="75"/>
  <c r="G86" i="75"/>
  <c r="F86" i="75"/>
  <c r="E86" i="75"/>
  <c r="D86" i="75"/>
  <c r="V85" i="75"/>
  <c r="T85" i="75"/>
  <c r="O85" i="75"/>
  <c r="O34" i="75" s="1"/>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W40" i="75"/>
  <c r="V40" i="75"/>
  <c r="U40" i="75"/>
  <c r="T40" i="75"/>
  <c r="S40" i="75"/>
  <c r="W38" i="75"/>
  <c r="K38" i="75"/>
  <c r="E38" i="75"/>
  <c r="D38" i="75"/>
  <c r="AC36" i="75"/>
  <c r="AB36" i="75"/>
  <c r="AA36" i="75"/>
  <c r="Z36" i="75"/>
  <c r="Y36" i="75"/>
  <c r="X36" i="75"/>
  <c r="W36" i="75"/>
  <c r="V36" i="75"/>
  <c r="U36" i="75"/>
  <c r="T36" i="75"/>
  <c r="S36" i="75"/>
  <c r="R36" i="75"/>
  <c r="Q36" i="75"/>
  <c r="P36" i="75"/>
  <c r="O36" i="75"/>
  <c r="N36" i="75"/>
  <c r="M36" i="75"/>
  <c r="L36" i="75"/>
  <c r="K36" i="75"/>
  <c r="J36" i="75"/>
  <c r="T35" i="75"/>
  <c r="S35" i="75"/>
  <c r="R35" i="75"/>
  <c r="Q35" i="75"/>
  <c r="P35" i="75"/>
  <c r="O35" i="75"/>
  <c r="N35" i="75"/>
  <c r="M35" i="75"/>
  <c r="J34" i="75"/>
  <c r="H34" i="75"/>
  <c r="G34" i="75"/>
  <c r="F34" i="75"/>
  <c r="E34" i="75"/>
  <c r="D34" i="75"/>
  <c r="W33" i="75"/>
  <c r="Q33" i="75"/>
  <c r="Q38" i="75" s="1"/>
  <c r="I28" i="75"/>
  <c r="H28" i="75"/>
  <c r="F28" i="75"/>
  <c r="E28" i="75"/>
  <c r="D28" i="75"/>
  <c r="V25" i="75"/>
  <c r="U25" i="75"/>
  <c r="T25" i="75"/>
  <c r="S25" i="75"/>
  <c r="R25" i="75"/>
  <c r="Q25" i="75"/>
  <c r="P25" i="75"/>
  <c r="O25" i="75"/>
  <c r="N25" i="75"/>
  <c r="M25" i="75"/>
  <c r="L25" i="75"/>
  <c r="K25" i="75"/>
  <c r="J25" i="75"/>
  <c r="I25" i="75"/>
  <c r="H25" i="75"/>
  <c r="G25" i="75"/>
  <c r="F25" i="75"/>
  <c r="E25" i="75"/>
  <c r="D25" i="75"/>
  <c r="O24" i="75"/>
  <c r="J24" i="75"/>
  <c r="H24" i="75"/>
  <c r="G24" i="75"/>
  <c r="G28" i="75" s="1"/>
  <c r="F24" i="75"/>
  <c r="E24" i="75"/>
  <c r="D24" i="75"/>
  <c r="W23" i="75"/>
  <c r="Q23" i="75"/>
  <c r="AC22" i="75"/>
  <c r="AB22" i="75"/>
  <c r="AA22" i="75"/>
  <c r="Z22" i="75"/>
  <c r="Y22" i="75"/>
  <c r="X22" i="75"/>
  <c r="W22" i="75"/>
  <c r="V22" i="75"/>
  <c r="U22" i="75"/>
  <c r="T22" i="75"/>
  <c r="S22" i="75"/>
  <c r="R22" i="75"/>
  <c r="Q22" i="75"/>
  <c r="P22" i="75"/>
  <c r="O22" i="75"/>
  <c r="N22" i="75"/>
  <c r="M22" i="75"/>
  <c r="L22" i="75"/>
  <c r="K22" i="75"/>
  <c r="J22" i="75"/>
  <c r="T21" i="75"/>
  <c r="S21" i="75"/>
  <c r="R21" i="75"/>
  <c r="Q21" i="75"/>
  <c r="P21" i="75"/>
  <c r="O21" i="75"/>
  <c r="N21" i="75"/>
  <c r="M21" i="75"/>
  <c r="L21" i="75"/>
  <c r="L38" i="75" s="1"/>
  <c r="K21" i="75"/>
  <c r="J21" i="75"/>
  <c r="J38" i="75" s="1"/>
  <c r="I21" i="75"/>
  <c r="I38" i="75" s="1"/>
  <c r="H21" i="75"/>
  <c r="H38" i="75" s="1"/>
  <c r="G21" i="75"/>
  <c r="F21" i="75"/>
  <c r="F99" i="75" s="1"/>
  <c r="E21" i="75"/>
  <c r="E99" i="75" s="1"/>
  <c r="D21" i="75"/>
  <c r="D99" i="75" s="1"/>
  <c r="AC18" i="75"/>
  <c r="AB18" i="75"/>
  <c r="AA18" i="75"/>
  <c r="Z18" i="75"/>
  <c r="Y18" i="75"/>
  <c r="X18" i="75"/>
  <c r="W18" i="75"/>
  <c r="V18" i="75"/>
  <c r="U18" i="75"/>
  <c r="T18" i="75"/>
  <c r="S18" i="75"/>
  <c r="P18" i="75"/>
  <c r="O18" i="75"/>
  <c r="M18" i="75"/>
  <c r="L18" i="75"/>
  <c r="K18" i="75"/>
  <c r="J18" i="75"/>
  <c r="I18" i="75"/>
  <c r="H18" i="75"/>
  <c r="AA17" i="75"/>
  <c r="Y17"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N98" i="59"/>
  <c r="M98" i="59"/>
  <c r="L98" i="59"/>
  <c r="K98" i="59"/>
  <c r="J98" i="59"/>
  <c r="I98" i="59"/>
  <c r="H98" i="59"/>
  <c r="G98" i="59"/>
  <c r="F98" i="59"/>
  <c r="E98" i="59"/>
  <c r="D98" i="59"/>
  <c r="C98" i="59"/>
  <c r="K94" i="59"/>
  <c r="J94" i="59"/>
  <c r="I94" i="59"/>
  <c r="H94" i="59"/>
  <c r="G94" i="59"/>
  <c r="F94" i="59"/>
  <c r="E94" i="59"/>
  <c r="D94" i="59"/>
  <c r="C94" i="59"/>
  <c r="D91" i="59"/>
  <c r="E91" i="59" s="1"/>
  <c r="F91" i="59" s="1"/>
  <c r="G91" i="59" s="1"/>
  <c r="H91" i="59" s="1"/>
  <c r="I91" i="59" s="1"/>
  <c r="J91" i="59" s="1"/>
  <c r="K91" i="59" s="1"/>
  <c r="L91" i="59" s="1"/>
  <c r="M91" i="59" s="1"/>
  <c r="N91" i="59" s="1"/>
  <c r="O91" i="59" s="1"/>
  <c r="P91" i="59" s="1"/>
  <c r="Q91" i="59" s="1"/>
  <c r="R91" i="59" s="1"/>
  <c r="AC71" i="59"/>
  <c r="AD70" i="59" s="1"/>
  <c r="AD72" i="59" s="1"/>
  <c r="AB71" i="59"/>
  <c r="AC70" i="59" s="1"/>
  <c r="AC72" i="59" s="1"/>
  <c r="AA71" i="59"/>
  <c r="AB70" i="59" s="1"/>
  <c r="AB72" i="59" s="1"/>
  <c r="Z71" i="59"/>
  <c r="AA70" i="59" s="1"/>
  <c r="AA72" i="59" s="1"/>
  <c r="Y71" i="59"/>
  <c r="Z70" i="59" s="1"/>
  <c r="Z72" i="59" s="1"/>
  <c r="X71" i="59"/>
  <c r="Y70" i="59" s="1"/>
  <c r="Y72" i="59" s="1"/>
  <c r="W71" i="59"/>
  <c r="X70" i="59" s="1"/>
  <c r="X72" i="59" s="1"/>
  <c r="V71" i="59"/>
  <c r="W70" i="59" s="1"/>
  <c r="W72" i="59" s="1"/>
  <c r="U71" i="59"/>
  <c r="V70" i="59" s="1"/>
  <c r="V72" i="59" s="1"/>
  <c r="T71" i="59"/>
  <c r="U70" i="59" s="1"/>
  <c r="U72" i="59" s="1"/>
  <c r="S71" i="59"/>
  <c r="R71" i="59"/>
  <c r="Q71" i="59"/>
  <c r="P71" i="59"/>
  <c r="O71" i="59"/>
  <c r="N71" i="59"/>
  <c r="M71" i="59"/>
  <c r="L71" i="59"/>
  <c r="K71" i="59"/>
  <c r="J71" i="59"/>
  <c r="I71" i="59"/>
  <c r="H71" i="59"/>
  <c r="G71" i="59"/>
  <c r="F71" i="59"/>
  <c r="E71" i="59"/>
  <c r="D71" i="59"/>
  <c r="AC62" i="59"/>
  <c r="AB62" i="59"/>
  <c r="AA62" i="59"/>
  <c r="Z62" i="59"/>
  <c r="Y62" i="59"/>
  <c r="X62" i="59"/>
  <c r="W62" i="59"/>
  <c r="V62" i="59"/>
  <c r="U62" i="59"/>
  <c r="T62" i="59"/>
  <c r="S62" i="59"/>
  <c r="R62" i="59"/>
  <c r="Q62" i="59"/>
  <c r="P62" i="59"/>
  <c r="O62" i="59"/>
  <c r="N62" i="59"/>
  <c r="M62" i="59"/>
  <c r="L62" i="59"/>
  <c r="K62" i="59"/>
  <c r="J62" i="59"/>
  <c r="I62" i="59"/>
  <c r="H62" i="59"/>
  <c r="G62" i="59"/>
  <c r="F62" i="59"/>
  <c r="E62" i="59"/>
  <c r="D62" i="59"/>
  <c r="AC51" i="59"/>
  <c r="AB51" i="59"/>
  <c r="AA51" i="59"/>
  <c r="Z51" i="59"/>
  <c r="Y51" i="59"/>
  <c r="X51" i="59"/>
  <c r="W51" i="59"/>
  <c r="V51" i="59"/>
  <c r="U51" i="59"/>
  <c r="T51" i="59"/>
  <c r="S51" i="59"/>
  <c r="R51" i="59"/>
  <c r="Q51" i="59"/>
  <c r="P51" i="59"/>
  <c r="O51" i="59"/>
  <c r="N51" i="59"/>
  <c r="M51" i="59"/>
  <c r="L51" i="59"/>
  <c r="K51" i="59"/>
  <c r="J51" i="59"/>
  <c r="I51" i="59"/>
  <c r="H51" i="59"/>
  <c r="G51" i="59"/>
  <c r="F51" i="59"/>
  <c r="E51" i="59"/>
  <c r="D51" i="59"/>
  <c r="AB36" i="59"/>
  <c r="AA36" i="59"/>
  <c r="Z36" i="59"/>
  <c r="Y36" i="59"/>
  <c r="X36" i="59"/>
  <c r="W36" i="59"/>
  <c r="V36" i="59"/>
  <c r="U36" i="59"/>
  <c r="T36" i="59"/>
  <c r="S36" i="59"/>
  <c r="R36" i="59"/>
  <c r="Q36" i="59"/>
  <c r="P36" i="59"/>
  <c r="O36" i="59"/>
  <c r="N36" i="59"/>
  <c r="M36" i="59"/>
  <c r="L36" i="59"/>
  <c r="K36" i="59"/>
  <c r="J36" i="59"/>
  <c r="I36" i="59"/>
  <c r="H36" i="59"/>
  <c r="G36" i="59"/>
  <c r="F36" i="59"/>
  <c r="E36" i="59"/>
  <c r="D36" i="59"/>
  <c r="AN32" i="59"/>
  <c r="AM32" i="59"/>
  <c r="AL32" i="59"/>
  <c r="AK32" i="59"/>
  <c r="AJ32" i="59"/>
  <c r="AI32" i="59"/>
  <c r="AH32" i="59"/>
  <c r="AG32" i="59"/>
  <c r="AF32" i="59"/>
  <c r="AE32" i="59"/>
  <c r="AD32" i="59"/>
  <c r="AC32" i="59"/>
  <c r="AB32" i="59"/>
  <c r="AA32" i="59"/>
  <c r="Z32" i="59"/>
  <c r="Y32" i="59"/>
  <c r="X32" i="59"/>
  <c r="W32" i="59"/>
  <c r="V32" i="59"/>
  <c r="U32" i="59"/>
  <c r="T32" i="59"/>
  <c r="S32" i="59"/>
  <c r="AN30" i="59"/>
  <c r="AM30" i="59"/>
  <c r="AL30" i="59"/>
  <c r="AK30" i="59"/>
  <c r="K16" i="35" s="1"/>
  <c r="L18" i="55" s="1"/>
  <c r="AJ30" i="59"/>
  <c r="J16" i="35" s="1"/>
  <c r="K18" i="55" s="1"/>
  <c r="AI30" i="59"/>
  <c r="I16" i="35" s="1"/>
  <c r="J18" i="55" s="1"/>
  <c r="AH30" i="59"/>
  <c r="H16" i="35" s="1"/>
  <c r="I18" i="55" s="1"/>
  <c r="I115" i="55" s="1"/>
  <c r="AG30" i="59"/>
  <c r="G16" i="35" s="1"/>
  <c r="H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W25" i="59"/>
  <c r="W30" i="59" s="1"/>
  <c r="P5" i="50" s="1"/>
  <c r="Q25" i="59"/>
  <c r="AF24" i="59"/>
  <c r="F15" i="35" s="1"/>
  <c r="G17" i="55" s="1"/>
  <c r="AE24" i="59"/>
  <c r="E15" i="35" s="1"/>
  <c r="F17" i="55" s="1"/>
  <c r="T21" i="59"/>
  <c r="S21" i="59"/>
  <c r="R21" i="59"/>
  <c r="Q21" i="59"/>
  <c r="P21" i="59"/>
  <c r="O21" i="59"/>
  <c r="N21" i="59"/>
  <c r="M21" i="59"/>
  <c r="L21" i="59"/>
  <c r="L30" i="59" s="1"/>
  <c r="E5" i="50" s="1"/>
  <c r="K21" i="59"/>
  <c r="K30" i="59" s="1"/>
  <c r="J21" i="59"/>
  <c r="J30" i="59" s="1"/>
  <c r="I21" i="59"/>
  <c r="I30" i="59" s="1"/>
  <c r="H21" i="59"/>
  <c r="H30" i="59" s="1"/>
  <c r="G21" i="59"/>
  <c r="F21" i="59"/>
  <c r="E21" i="59"/>
  <c r="D21" i="59"/>
  <c r="D30" i="59" s="1"/>
  <c r="AN18" i="59"/>
  <c r="AM18" i="59"/>
  <c r="AL18" i="59"/>
  <c r="AK18" i="59"/>
  <c r="AJ18" i="59"/>
  <c r="AI18" i="59"/>
  <c r="AH18" i="59"/>
  <c r="AG18" i="59"/>
  <c r="AF18" i="59"/>
  <c r="AE18" i="59"/>
  <c r="AD18" i="59"/>
  <c r="AC18" i="59"/>
  <c r="AB18" i="59"/>
  <c r="AA18" i="59"/>
  <c r="Z18" i="59"/>
  <c r="Y18" i="59"/>
  <c r="X18" i="59"/>
  <c r="W18" i="59"/>
  <c r="V18" i="59"/>
  <c r="U18" i="59"/>
  <c r="T18" i="59"/>
  <c r="S18" i="59"/>
  <c r="P18" i="59"/>
  <c r="O18" i="59"/>
  <c r="M18" i="59"/>
  <c r="L18" i="59"/>
  <c r="K18" i="59"/>
  <c r="J18" i="59"/>
  <c r="I18" i="59"/>
  <c r="H18" i="59"/>
  <c r="W17" i="59"/>
  <c r="V17" i="59"/>
  <c r="U17" i="59"/>
  <c r="T17" i="59"/>
  <c r="Q17" i="59"/>
  <c r="P17" i="59"/>
  <c r="I17" i="59"/>
  <c r="H17" i="59"/>
  <c r="G17" i="59"/>
  <c r="F17" i="59"/>
  <c r="AC16" i="59"/>
  <c r="AB16" i="59"/>
  <c r="AA16" i="59"/>
  <c r="Z16" i="59"/>
  <c r="W15" i="59"/>
  <c r="V15" i="59"/>
  <c r="AC12" i="59"/>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AH21" i="67"/>
  <c r="AG21" i="67"/>
  <c r="AF21" i="67"/>
  <c r="AE21" i="67"/>
  <c r="AD21" i="67"/>
  <c r="AC21" i="67"/>
  <c r="AB21" i="67"/>
  <c r="AA21" i="67"/>
  <c r="Z21" i="67"/>
  <c r="Y21" i="67"/>
  <c r="X21" i="67"/>
  <c r="W21" i="67"/>
  <c r="V21" i="67"/>
  <c r="U21" i="67"/>
  <c r="T21" i="67"/>
  <c r="S21" i="67"/>
  <c r="R21" i="67"/>
  <c r="D23" i="35"/>
  <c r="E25" i="55" s="1"/>
  <c r="U11" i="50"/>
  <c r="Z11" i="67"/>
  <c r="S11" i="50" s="1"/>
  <c r="Y11" i="67"/>
  <c r="X11" i="67"/>
  <c r="W11" i="67"/>
  <c r="K26" i="33"/>
  <c r="J26" i="33"/>
  <c r="I26" i="33"/>
  <c r="H26" i="33"/>
  <c r="Z13" i="33" s="1"/>
  <c r="G26" i="33"/>
  <c r="W13" i="33" s="1"/>
  <c r="K24" i="33"/>
  <c r="I24" i="33"/>
  <c r="H24" i="33"/>
  <c r="G24" i="33"/>
  <c r="F24" i="33"/>
  <c r="F26" i="33" s="1"/>
  <c r="S13" i="33" s="1"/>
  <c r="E24" i="33"/>
  <c r="J23" i="33"/>
  <c r="J24" i="33" s="1"/>
  <c r="AN13" i="33"/>
  <c r="AJ13" i="33"/>
  <c r="R13" i="33"/>
  <c r="O13" i="33"/>
  <c r="N13" i="33"/>
  <c r="AC12" i="33"/>
  <c r="AC11" i="33"/>
  <c r="AB11" i="33"/>
  <c r="AA11" i="33"/>
  <c r="Z11" i="33"/>
  <c r="Y11" i="33"/>
  <c r="X11" i="33"/>
  <c r="W11" i="33"/>
  <c r="V11" i="33"/>
  <c r="U11" i="33"/>
  <c r="T11" i="33"/>
  <c r="S11" i="33"/>
  <c r="R11" i="33"/>
  <c r="Q11" i="33"/>
  <c r="P11" i="33"/>
  <c r="O11" i="33"/>
  <c r="N11" i="33"/>
  <c r="M11" i="33"/>
  <c r="L11" i="33"/>
  <c r="K11" i="33"/>
  <c r="J11" i="33"/>
  <c r="AC10" i="33"/>
  <c r="AC17" i="75" s="1"/>
  <c r="AB10" i="33"/>
  <c r="AA10" i="33"/>
  <c r="AA17" i="59" s="1"/>
  <c r="Z10" i="33"/>
  <c r="Y10" i="33"/>
  <c r="Y17" i="59" s="1"/>
  <c r="X10" i="33"/>
  <c r="W10" i="33"/>
  <c r="W17" i="75" s="1"/>
  <c r="V10" i="33"/>
  <c r="V17" i="75" s="1"/>
  <c r="U10" i="33"/>
  <c r="U17" i="75" s="1"/>
  <c r="T10" i="33"/>
  <c r="S10" i="33"/>
  <c r="S17" i="75" s="1"/>
  <c r="R10" i="33"/>
  <c r="Q10" i="33"/>
  <c r="Q17" i="75" s="1"/>
  <c r="P10" i="33"/>
  <c r="O10" i="33"/>
  <c r="N10" i="33"/>
  <c r="M10" i="33"/>
  <c r="L10" i="33"/>
  <c r="K10" i="33"/>
  <c r="J10" i="33"/>
  <c r="I10" i="33"/>
  <c r="I17" i="75" s="1"/>
  <c r="H10" i="33"/>
  <c r="H17" i="75" s="1"/>
  <c r="G10" i="33"/>
  <c r="G17" i="75" s="1"/>
  <c r="F10" i="33"/>
  <c r="F17" i="75" s="1"/>
  <c r="E10" i="33"/>
  <c r="E17" i="75" s="1"/>
  <c r="D10" i="33"/>
  <c r="AB45" i="75"/>
  <c r="E37" i="59"/>
  <c r="AD81" i="30"/>
  <c r="AD79" i="30"/>
  <c r="AD72" i="30"/>
  <c r="AD71" i="30"/>
  <c r="AD70" i="30"/>
  <c r="AD69" i="30"/>
  <c r="AD68" i="30"/>
  <c r="AD67" i="30"/>
  <c r="AD66" i="30"/>
  <c r="AD65" i="30"/>
  <c r="AD62" i="30"/>
  <c r="AD58" i="30"/>
  <c r="AD55" i="30"/>
  <c r="AD54" i="30"/>
  <c r="AD53" i="30"/>
  <c r="R46" i="30"/>
  <c r="N46" i="30"/>
  <c r="G46" i="30"/>
  <c r="F46" i="30"/>
  <c r="AF45" i="30"/>
  <c r="AE45" i="30"/>
  <c r="T45" i="30"/>
  <c r="R45" i="30"/>
  <c r="Q45" i="30"/>
  <c r="N45" i="30"/>
  <c r="M45" i="30"/>
  <c r="AC43" i="30"/>
  <c r="AB43" i="30"/>
  <c r="AC41" i="30"/>
  <c r="AB41" i="30"/>
  <c r="AB24" i="30" s="1"/>
  <c r="AC40" i="30"/>
  <c r="AB40" i="30"/>
  <c r="AA40" i="30"/>
  <c r="Z40" i="30"/>
  <c r="Y40" i="30"/>
  <c r="X40" i="30"/>
  <c r="M40" i="30"/>
  <c r="AC39" i="30"/>
  <c r="AB39" i="30"/>
  <c r="AA39" i="30"/>
  <c r="Z39" i="30"/>
  <c r="Y39" i="30"/>
  <c r="X39" i="30"/>
  <c r="AC38" i="30"/>
  <c r="AB38" i="30"/>
  <c r="AA38" i="30"/>
  <c r="Z38" i="30"/>
  <c r="Y38" i="30"/>
  <c r="X38" i="30"/>
  <c r="AC37" i="30"/>
  <c r="AB37" i="30"/>
  <c r="AA37" i="30"/>
  <c r="Z37" i="30"/>
  <c r="Z20" i="30" s="1"/>
  <c r="Y37" i="30"/>
  <c r="Y20" i="30" s="1"/>
  <c r="AC36" i="30"/>
  <c r="AB36" i="30"/>
  <c r="AA36" i="30"/>
  <c r="Z36" i="30"/>
  <c r="Y36" i="30"/>
  <c r="X36" i="30"/>
  <c r="O34" i="30"/>
  <c r="N34" i="30"/>
  <c r="O33" i="30"/>
  <c r="O30" i="30"/>
  <c r="N30" i="30"/>
  <c r="N29" i="30" s="1"/>
  <c r="AH27" i="30"/>
  <c r="AI27" i="30" s="1"/>
  <c r="AJ27" i="30" s="1"/>
  <c r="AK27" i="30" s="1"/>
  <c r="AL27" i="30" s="1"/>
  <c r="AM27" i="30" s="1"/>
  <c r="AN27" i="30" s="1"/>
  <c r="AG27" i="30"/>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I23" i="30"/>
  <c r="AJ23" i="30" s="1"/>
  <c r="AK23" i="30" s="1"/>
  <c r="AL23" i="30" s="1"/>
  <c r="AM23" i="30" s="1"/>
  <c r="AN23" i="30" s="1"/>
  <c r="AD23" i="30"/>
  <c r="AE23" i="30" s="1"/>
  <c r="AF23" i="30" s="1"/>
  <c r="AG23" i="30" s="1"/>
  <c r="AH23" i="30" s="1"/>
  <c r="AC23" i="30"/>
  <c r="AB23" i="30"/>
  <c r="AA23" i="30"/>
  <c r="Z23" i="30"/>
  <c r="Y23" i="30"/>
  <c r="X23" i="30"/>
  <c r="W23" i="30"/>
  <c r="V23" i="30"/>
  <c r="U23" i="30"/>
  <c r="AD60" i="30" s="1"/>
  <c r="T23" i="30"/>
  <c r="S23" i="30"/>
  <c r="R23" i="30"/>
  <c r="Q23" i="30"/>
  <c r="P23" i="30"/>
  <c r="O23" i="30"/>
  <c r="N23" i="30"/>
  <c r="AC22" i="30"/>
  <c r="AB22" i="30"/>
  <c r="AA22" i="30"/>
  <c r="Z22" i="30"/>
  <c r="Y22" i="30"/>
  <c r="X22" i="30"/>
  <c r="W22" i="30"/>
  <c r="V22" i="30"/>
  <c r="U22" i="30"/>
  <c r="AD59" i="30" s="1"/>
  <c r="T22" i="30"/>
  <c r="S22" i="30"/>
  <c r="R22" i="30"/>
  <c r="Q22" i="30"/>
  <c r="P22" i="30"/>
  <c r="O22" i="30"/>
  <c r="N22" i="30"/>
  <c r="AC21" i="30"/>
  <c r="AD21" i="30" s="1"/>
  <c r="AE21" i="30" s="1"/>
  <c r="AF21" i="30" s="1"/>
  <c r="AG21" i="30" s="1"/>
  <c r="AH21" i="30" s="1"/>
  <c r="AI21" i="30" s="1"/>
  <c r="AJ21" i="30" s="1"/>
  <c r="AK21" i="30" s="1"/>
  <c r="AL21" i="30" s="1"/>
  <c r="AM21" i="30" s="1"/>
  <c r="AN21" i="30" s="1"/>
  <c r="AB21" i="30"/>
  <c r="AA21" i="30"/>
  <c r="Z21" i="30"/>
  <c r="Y21" i="30"/>
  <c r="X21" i="30"/>
  <c r="W21" i="30"/>
  <c r="V21" i="30"/>
  <c r="U21" i="30"/>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AB20" i="30"/>
  <c r="AA20" i="30"/>
  <c r="T20" i="30"/>
  <c r="S20" i="30"/>
  <c r="R20" i="30"/>
  <c r="Q20" i="30"/>
  <c r="P20" i="30"/>
  <c r="O20" i="30"/>
  <c r="N20" i="30"/>
  <c r="M20" i="30"/>
  <c r="L20" i="30"/>
  <c r="K20" i="30"/>
  <c r="J20" i="30"/>
  <c r="I20" i="30"/>
  <c r="H20" i="30"/>
  <c r="AC19" i="30"/>
  <c r="AC15" i="30" s="1"/>
  <c r="AB19" i="30"/>
  <c r="AA19" i="30"/>
  <c r="Z19" i="30"/>
  <c r="Y19" i="30"/>
  <c r="X19" i="30"/>
  <c r="W19" i="30"/>
  <c r="V19" i="30"/>
  <c r="U19" i="30"/>
  <c r="AD56" i="30" s="1"/>
  <c r="T19" i="30"/>
  <c r="S19" i="30"/>
  <c r="R19" i="30"/>
  <c r="Q19" i="30"/>
  <c r="P19" i="30"/>
  <c r="O19" i="30"/>
  <c r="N19" i="30"/>
  <c r="N13" i="30" s="1"/>
  <c r="N12" i="30" s="1"/>
  <c r="M19" i="30"/>
  <c r="M15" i="30" s="1"/>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M18" i="30"/>
  <c r="L18" i="30"/>
  <c r="K18" i="30"/>
  <c r="J18" i="30"/>
  <c r="I18" i="30"/>
  <c r="H18" i="30"/>
  <c r="AD17" i="30"/>
  <c r="AC17" i="30"/>
  <c r="AB17" i="30"/>
  <c r="AA17" i="30"/>
  <c r="Z17" i="30"/>
  <c r="Y17" i="30"/>
  <c r="X17" i="30"/>
  <c r="W17" i="30"/>
  <c r="V17" i="30"/>
  <c r="U17" i="30"/>
  <c r="T17" i="30"/>
  <c r="S17" i="30"/>
  <c r="R17" i="30"/>
  <c r="Q17" i="30"/>
  <c r="P17" i="30"/>
  <c r="O17" i="30"/>
  <c r="N17" i="30"/>
  <c r="M17" i="30"/>
  <c r="L17" i="30"/>
  <c r="K17" i="30"/>
  <c r="J17" i="30"/>
  <c r="I17" i="30"/>
  <c r="H17" i="30"/>
  <c r="AC16" i="30"/>
  <c r="AB16" i="30"/>
  <c r="AA16" i="30"/>
  <c r="Z16" i="30"/>
  <c r="Y16" i="30"/>
  <c r="X16" i="30"/>
  <c r="W16" i="30"/>
  <c r="V16" i="30"/>
  <c r="U16" i="30"/>
  <c r="T16" i="30"/>
  <c r="S16" i="30"/>
  <c r="R16" i="30"/>
  <c r="Q16" i="30"/>
  <c r="P16" i="30"/>
  <c r="O16" i="30"/>
  <c r="N16" i="30"/>
  <c r="M16" i="30"/>
  <c r="L16" i="30"/>
  <c r="K16" i="30"/>
  <c r="J16" i="30"/>
  <c r="I16" i="30"/>
  <c r="H16" i="30"/>
  <c r="K15" i="30"/>
  <c r="AC14" i="30"/>
  <c r="AB14" i="30"/>
  <c r="AA14" i="30"/>
  <c r="Z14" i="30"/>
  <c r="Y14" i="30"/>
  <c r="X14" i="30"/>
  <c r="W14" i="30"/>
  <c r="V14" i="30"/>
  <c r="U14" i="30"/>
  <c r="T14" i="30"/>
  <c r="S14" i="30"/>
  <c r="R14" i="30"/>
  <c r="Q14" i="30"/>
  <c r="P14" i="30"/>
  <c r="O14" i="30"/>
  <c r="N14" i="30"/>
  <c r="M14" i="30"/>
  <c r="L14" i="30"/>
  <c r="K14" i="30"/>
  <c r="J14" i="30"/>
  <c r="I14" i="30"/>
  <c r="H14" i="30"/>
  <c r="K13" i="30"/>
  <c r="G12" i="30"/>
  <c r="F12" i="30"/>
  <c r="AC11" i="30"/>
  <c r="AB11" i="30"/>
  <c r="AA11" i="30"/>
  <c r="Z11" i="30"/>
  <c r="Y11" i="30"/>
  <c r="X11" i="30"/>
  <c r="W11" i="30"/>
  <c r="V11" i="30"/>
  <c r="U11" i="30"/>
  <c r="AD48" i="30" s="1"/>
  <c r="T11" i="30"/>
  <c r="T46" i="30" s="1"/>
  <c r="S11" i="30"/>
  <c r="R11" i="30"/>
  <c r="Q11" i="30"/>
  <c r="Q46" i="30" s="1"/>
  <c r="P11" i="30"/>
  <c r="O11" i="30"/>
  <c r="N11" i="30"/>
  <c r="M11" i="30"/>
  <c r="L11" i="30"/>
  <c r="L46" i="30" s="1"/>
  <c r="K11" i="30"/>
  <c r="J11" i="30"/>
  <c r="I11" i="30"/>
  <c r="I46" i="30" s="1"/>
  <c r="H11" i="30"/>
  <c r="Q56" i="20"/>
  <c r="L56" i="20"/>
  <c r="K56" i="20"/>
  <c r="J56" i="20"/>
  <c r="I56" i="20"/>
  <c r="AE47" i="20"/>
  <c r="BC43" i="20"/>
  <c r="BB43" i="20"/>
  <c r="BA43" i="20"/>
  <c r="AZ43" i="20"/>
  <c r="AY43" i="20"/>
  <c r="AX43" i="20"/>
  <c r="AW43" i="20"/>
  <c r="AV43" i="20"/>
  <c r="AU43" i="20"/>
  <c r="AT43" i="20"/>
  <c r="AS43" i="20"/>
  <c r="AR43" i="20"/>
  <c r="Y85" i="80" s="1"/>
  <c r="AQ43" i="20"/>
  <c r="X85" i="80" s="1"/>
  <c r="AP43" i="20"/>
  <c r="W85" i="80" s="1"/>
  <c r="AO43" i="20"/>
  <c r="V85" i="80" s="1"/>
  <c r="AN43" i="20"/>
  <c r="U85" i="80" s="1"/>
  <c r="AM43" i="20"/>
  <c r="T85" i="80" s="1"/>
  <c r="AL43" i="20"/>
  <c r="S85" i="80" s="1"/>
  <c r="AK43" i="20"/>
  <c r="R85" i="80" s="1"/>
  <c r="AJ43" i="20"/>
  <c r="Q85" i="80" s="1"/>
  <c r="AI43" i="20"/>
  <c r="P85" i="80" s="1"/>
  <c r="AH43" i="20"/>
  <c r="O85" i="80" s="1"/>
  <c r="AG43" i="20"/>
  <c r="N85" i="80" s="1"/>
  <c r="AF43" i="20"/>
  <c r="M85" i="80" s="1"/>
  <c r="AE43" i="20"/>
  <c r="L85" i="80" s="1"/>
  <c r="AD43" i="20"/>
  <c r="K85" i="80" s="1"/>
  <c r="AC43" i="20"/>
  <c r="J85" i="80" s="1"/>
  <c r="AB43" i="20"/>
  <c r="I85" i="80" s="1"/>
  <c r="AA43" i="20"/>
  <c r="H85" i="80" s="1"/>
  <c r="Z43" i="20"/>
  <c r="G85" i="80" s="1"/>
  <c r="Y43" i="20"/>
  <c r="F85" i="80" s="1"/>
  <c r="X43" i="20"/>
  <c r="E85" i="80" s="1"/>
  <c r="W43" i="20"/>
  <c r="D85" i="80" s="1"/>
  <c r="V43" i="20"/>
  <c r="C85" i="80" s="1"/>
  <c r="AN34" i="20"/>
  <c r="AM34" i="20"/>
  <c r="AL34" i="20"/>
  <c r="AK34" i="20"/>
  <c r="AJ34" i="20"/>
  <c r="AI34" i="20"/>
  <c r="AH34" i="20"/>
  <c r="AG34" i="20"/>
  <c r="AF34" i="20"/>
  <c r="AE34" i="20"/>
  <c r="AD34" i="20"/>
  <c r="AC31" i="20"/>
  <c r="AC35" i="20" s="1"/>
  <c r="AB31" i="20"/>
  <c r="AA31" i="20"/>
  <c r="AA35" i="20" s="1"/>
  <c r="Z31" i="20"/>
  <c r="Y31" i="20"/>
  <c r="Y35" i="20" s="1"/>
  <c r="X31" i="20"/>
  <c r="W31" i="20"/>
  <c r="W35" i="20" s="1"/>
  <c r="V31" i="20"/>
  <c r="V35" i="20" s="1"/>
  <c r="U31" i="20"/>
  <c r="U35" i="20" s="1"/>
  <c r="T31" i="20"/>
  <c r="T35" i="20" s="1"/>
  <c r="S31" i="20"/>
  <c r="S35" i="20" s="1"/>
  <c r="R31" i="20"/>
  <c r="Q31" i="20"/>
  <c r="P31" i="20"/>
  <c r="P35" i="20" s="1"/>
  <c r="O31" i="20"/>
  <c r="O35" i="20" s="1"/>
  <c r="N31" i="20"/>
  <c r="M31" i="20"/>
  <c r="M35" i="20" s="1"/>
  <c r="L31" i="20"/>
  <c r="L35" i="20" s="1"/>
  <c r="K31" i="20"/>
  <c r="K35" i="20" s="1"/>
  <c r="J31" i="20"/>
  <c r="J35" i="20" s="1"/>
  <c r="I31" i="20"/>
  <c r="I35" i="20" s="1"/>
  <c r="H31" i="20"/>
  <c r="AD19" i="20"/>
  <c r="AD14" i="20" s="1"/>
  <c r="S16" i="20"/>
  <c r="AB14" i="20"/>
  <c r="AA14" i="20"/>
  <c r="Z14" i="20"/>
  <c r="Y14" i="20"/>
  <c r="X14" i="20"/>
  <c r="W14" i="20"/>
  <c r="V14" i="20"/>
  <c r="U14" i="20"/>
  <c r="T14" i="20"/>
  <c r="S14" i="20"/>
  <c r="R14" i="20"/>
  <c r="Q14" i="20"/>
  <c r="P14" i="20"/>
  <c r="O14" i="20"/>
  <c r="N14" i="20"/>
  <c r="M14" i="20"/>
  <c r="L14" i="20"/>
  <c r="K14" i="20"/>
  <c r="J14" i="20"/>
  <c r="I14" i="20"/>
  <c r="H14" i="20"/>
  <c r="AD95" i="26"/>
  <c r="AC95" i="26"/>
  <c r="AB95" i="26"/>
  <c r="AB94" i="26" s="1"/>
  <c r="AB56" i="20" s="1"/>
  <c r="AA95" i="26"/>
  <c r="Z95" i="26"/>
  <c r="Y95" i="26"/>
  <c r="X95" i="26"/>
  <c r="W95" i="26"/>
  <c r="V95" i="26"/>
  <c r="U95" i="26"/>
  <c r="U94" i="26" s="1"/>
  <c r="U56" i="20" s="1"/>
  <c r="T95" i="26"/>
  <c r="S95" i="26"/>
  <c r="AJ94" i="26"/>
  <c r="AJ56" i="20" s="1"/>
  <c r="AG94" i="26"/>
  <c r="AG56" i="20" s="1"/>
  <c r="AE94" i="26"/>
  <c r="AD94" i="26"/>
  <c r="Q94" i="26"/>
  <c r="P94" i="26"/>
  <c r="P56" i="20" s="1"/>
  <c r="O94" i="26"/>
  <c r="O56" i="20" s="1"/>
  <c r="N94" i="26"/>
  <c r="N56" i="20" s="1"/>
  <c r="M94" i="26"/>
  <c r="M56" i="20" s="1"/>
  <c r="L94" i="26"/>
  <c r="K94" i="26"/>
  <c r="J94" i="26"/>
  <c r="I94" i="26"/>
  <c r="H94" i="26"/>
  <c r="V94" i="26" s="1"/>
  <c r="W81" i="26"/>
  <c r="V81" i="26"/>
  <c r="U81" i="26"/>
  <c r="T81" i="26"/>
  <c r="S81" i="26"/>
  <c r="R81" i="26"/>
  <c r="AI79" i="26"/>
  <c r="AG79" i="26"/>
  <c r="AF79" i="26"/>
  <c r="AD79" i="26"/>
  <c r="AC79" i="26"/>
  <c r="AB79" i="26"/>
  <c r="AA79" i="26"/>
  <c r="Z79" i="26"/>
  <c r="Y79" i="26"/>
  <c r="X79" i="26"/>
  <c r="W79" i="26"/>
  <c r="V79" i="26"/>
  <c r="U79" i="26"/>
  <c r="T79" i="26"/>
  <c r="S79" i="26"/>
  <c r="AN77" i="26"/>
  <c r="AM77" i="26"/>
  <c r="AL77" i="26"/>
  <c r="AK77" i="26"/>
  <c r="AJ77" i="26"/>
  <c r="AI77" i="26"/>
  <c r="AH77" i="26"/>
  <c r="AG77" i="26"/>
  <c r="AF77" i="26"/>
  <c r="AE77" i="26"/>
  <c r="S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D75" i="26"/>
  <c r="AB75" i="26"/>
  <c r="AA75" i="26"/>
  <c r="W75" i="26"/>
  <c r="V75" i="26"/>
  <c r="C67" i="26"/>
  <c r="C66" i="26"/>
  <c r="C65" i="26"/>
  <c r="C46" i="26" s="1"/>
  <c r="C64" i="26"/>
  <c r="C63" i="26"/>
  <c r="C48" i="26" s="1"/>
  <c r="C61" i="26"/>
  <c r="C60" i="26"/>
  <c r="C59" i="26"/>
  <c r="C58" i="26"/>
  <c r="C45" i="26" s="1"/>
  <c r="C57" i="26"/>
  <c r="C52" i="26"/>
  <c r="C49" i="26"/>
  <c r="E48" i="26"/>
  <c r="C44" i="26"/>
  <c r="AD37" i="26"/>
  <c r="AD17" i="26" s="1"/>
  <c r="AA37" i="26"/>
  <c r="AA17" i="26" s="1"/>
  <c r="Z37" i="26"/>
  <c r="Y37" i="26"/>
  <c r="X37" i="26"/>
  <c r="W37" i="26"/>
  <c r="S37" i="26"/>
  <c r="S17" i="26" s="1"/>
  <c r="R37" i="26"/>
  <c r="Q37" i="26"/>
  <c r="Q17" i="26" s="1"/>
  <c r="P37" i="26"/>
  <c r="P17" i="26" s="1"/>
  <c r="W35" i="26"/>
  <c r="V35" i="26"/>
  <c r="U35" i="26"/>
  <c r="T35" i="26"/>
  <c r="Q34" i="26"/>
  <c r="N34" i="26"/>
  <c r="X32" i="26"/>
  <c r="X16" i="26" s="1"/>
  <c r="X77" i="26" s="1"/>
  <c r="W32" i="26"/>
  <c r="V32" i="26"/>
  <c r="U32" i="26"/>
  <c r="T32" i="26"/>
  <c r="S32" i="26"/>
  <c r="R32" i="26"/>
  <c r="Q32" i="26"/>
  <c r="P32" i="26"/>
  <c r="P16" i="26" s="1"/>
  <c r="P77" i="26" s="1"/>
  <c r="O32" i="26"/>
  <c r="N32" i="26"/>
  <c r="M32" i="26"/>
  <c r="X31" i="26"/>
  <c r="W31" i="26"/>
  <c r="V31" i="26"/>
  <c r="U31" i="26"/>
  <c r="T31" i="26"/>
  <c r="S31" i="26"/>
  <c r="R31" i="26"/>
  <c r="R16" i="26" s="1"/>
  <c r="R77" i="26" s="1"/>
  <c r="Q31" i="26"/>
  <c r="P31" i="26"/>
  <c r="O31" i="26"/>
  <c r="N31" i="26"/>
  <c r="M31" i="26"/>
  <c r="X30" i="26"/>
  <c r="W30" i="26"/>
  <c r="V30" i="26"/>
  <c r="U30" i="26"/>
  <c r="T30" i="26"/>
  <c r="S30" i="26"/>
  <c r="R30" i="26"/>
  <c r="Q30" i="26"/>
  <c r="P30" i="26"/>
  <c r="O30" i="26"/>
  <c r="N30" i="26"/>
  <c r="M30" i="26"/>
  <c r="N29" i="26"/>
  <c r="AD27" i="26"/>
  <c r="AC27" i="26"/>
  <c r="AB27" i="26"/>
  <c r="AA27" i="26"/>
  <c r="Z27" i="26"/>
  <c r="Y27" i="26"/>
  <c r="AO26" i="26"/>
  <c r="AO25" i="26"/>
  <c r="J24" i="26"/>
  <c r="P23" i="26"/>
  <c r="O23" i="26"/>
  <c r="N23" i="26"/>
  <c r="M23" i="26"/>
  <c r="L23" i="26"/>
  <c r="K23" i="26"/>
  <c r="G20" i="26"/>
  <c r="AD19" i="26"/>
  <c r="AC19" i="26"/>
  <c r="AB19" i="26"/>
  <c r="AA19" i="26"/>
  <c r="Z19" i="26"/>
  <c r="Y19" i="26"/>
  <c r="X19" i="26"/>
  <c r="W19" i="26"/>
  <c r="V19" i="26"/>
  <c r="U19" i="26"/>
  <c r="T19" i="26"/>
  <c r="S19" i="26"/>
  <c r="R19" i="26"/>
  <c r="Q19" i="26"/>
  <c r="P19" i="26"/>
  <c r="AO19" i="26" s="1"/>
  <c r="O19" i="26"/>
  <c r="N19" i="26"/>
  <c r="M19" i="26"/>
  <c r="L19" i="26"/>
  <c r="K19" i="26"/>
  <c r="S18" i="26"/>
  <c r="Q18" i="26"/>
  <c r="P18" i="26"/>
  <c r="AC17" i="26"/>
  <c r="Z17" i="26"/>
  <c r="Y17" i="26"/>
  <c r="X17" i="26"/>
  <c r="W17" i="26"/>
  <c r="R17" i="26"/>
  <c r="AD16" i="26"/>
  <c r="AD77" i="26" s="1"/>
  <c r="AC16" i="26"/>
  <c r="AC77" i="26" s="1"/>
  <c r="AB16" i="26"/>
  <c r="AB77" i="26" s="1"/>
  <c r="AA16" i="26"/>
  <c r="AA77" i="26" s="1"/>
  <c r="Z16" i="26"/>
  <c r="Z77" i="26" s="1"/>
  <c r="Y16" i="26"/>
  <c r="Y77" i="26" s="1"/>
  <c r="W16" i="26"/>
  <c r="W77" i="26" s="1"/>
  <c r="V16" i="26"/>
  <c r="V77" i="26" s="1"/>
  <c r="U16" i="26"/>
  <c r="U77" i="26" s="1"/>
  <c r="T16" i="26"/>
  <c r="T77" i="26" s="1"/>
  <c r="S16" i="26"/>
  <c r="Q16" i="26"/>
  <c r="Q77" i="26" s="1"/>
  <c r="AD15" i="26"/>
  <c r="AC15" i="26"/>
  <c r="AB15" i="26"/>
  <c r="AA15" i="26"/>
  <c r="Z15" i="26"/>
  <c r="Y15" i="26"/>
  <c r="AD14" i="26"/>
  <c r="AC14" i="26"/>
  <c r="AC75" i="26" s="1"/>
  <c r="AB14" i="26"/>
  <c r="AA14" i="26"/>
  <c r="Z14" i="26"/>
  <c r="Z75" i="26" s="1"/>
  <c r="Y14" i="26"/>
  <c r="Y75" i="26" s="1"/>
  <c r="X14" i="26"/>
  <c r="X75" i="26" s="1"/>
  <c r="W14" i="26"/>
  <c r="V14" i="26"/>
  <c r="U14" i="26"/>
  <c r="U75" i="26" s="1"/>
  <c r="T14" i="26"/>
  <c r="T75" i="26" s="1"/>
  <c r="S14" i="26"/>
  <c r="S75" i="26" s="1"/>
  <c r="R14" i="26"/>
  <c r="R75" i="26" s="1"/>
  <c r="Q14" i="26"/>
  <c r="Q75" i="26" s="1"/>
  <c r="P14" i="26"/>
  <c r="P75" i="26" s="1"/>
  <c r="O14" i="26"/>
  <c r="O75" i="26" s="1"/>
  <c r="N14" i="26"/>
  <c r="N75" i="26" s="1"/>
  <c r="M14" i="26"/>
  <c r="M75" i="26" s="1"/>
  <c r="L14" i="26"/>
  <c r="L75" i="26" s="1"/>
  <c r="K14" i="26"/>
  <c r="K75" i="26" s="1"/>
  <c r="J14" i="26"/>
  <c r="W13" i="26"/>
  <c r="V13" i="26"/>
  <c r="U13" i="26"/>
  <c r="T13" i="26"/>
  <c r="S13" i="26"/>
  <c r="R13" i="26"/>
  <c r="Q13" i="26"/>
  <c r="Q81" i="26" s="1"/>
  <c r="P13" i="26"/>
  <c r="P81" i="26" s="1"/>
  <c r="O13" i="26"/>
  <c r="O81" i="26" s="1"/>
  <c r="N13" i="26"/>
  <c r="N81" i="26" s="1"/>
  <c r="M13" i="26"/>
  <c r="M81" i="26" s="1"/>
  <c r="L13" i="26"/>
  <c r="L81" i="26" s="1"/>
  <c r="K13" i="26"/>
  <c r="J13" i="26"/>
  <c r="J81" i="26" s="1"/>
  <c r="J12" i="26"/>
  <c r="AO12" i="26" s="1"/>
  <c r="T11" i="26"/>
  <c r="S11" i="26"/>
  <c r="Q11" i="26"/>
  <c r="G11" i="26"/>
  <c r="F11" i="26"/>
  <c r="F20" i="26" s="1"/>
  <c r="E11" i="26"/>
  <c r="E20" i="26" s="1"/>
  <c r="D11" i="26"/>
  <c r="D20" i="26" s="1"/>
  <c r="AC10" i="26"/>
  <c r="AB10" i="26"/>
  <c r="AB11" i="26" s="1"/>
  <c r="AA10" i="26"/>
  <c r="Z10" i="26"/>
  <c r="Y10" i="26"/>
  <c r="X10" i="26"/>
  <c r="W10" i="26"/>
  <c r="V10" i="26"/>
  <c r="U10" i="26"/>
  <c r="T10" i="26"/>
  <c r="S10" i="26"/>
  <c r="R10" i="26"/>
  <c r="R11" i="26" s="1"/>
  <c r="Q10" i="26"/>
  <c r="P10" i="26"/>
  <c r="O10" i="26"/>
  <c r="N10" i="26"/>
  <c r="N11" i="26" s="1"/>
  <c r="M10" i="26"/>
  <c r="L10" i="26"/>
  <c r="K10" i="26"/>
  <c r="J10" i="26"/>
  <c r="I10" i="26"/>
  <c r="H10" i="26"/>
  <c r="G10" i="26"/>
  <c r="F10" i="26"/>
  <c r="E10" i="26"/>
  <c r="D10" i="26"/>
  <c r="AC9" i="26"/>
  <c r="AC11" i="26" s="1"/>
  <c r="AB9" i="26"/>
  <c r="AA9" i="26"/>
  <c r="AA11" i="26" s="1"/>
  <c r="Z9" i="26"/>
  <c r="Y9" i="26"/>
  <c r="Y11" i="26" s="1"/>
  <c r="X9" i="26"/>
  <c r="X11" i="26" s="1"/>
  <c r="W9" i="26"/>
  <c r="W11" i="26" s="1"/>
  <c r="V9" i="26"/>
  <c r="V11" i="26" s="1"/>
  <c r="U9" i="26"/>
  <c r="U11" i="26" s="1"/>
  <c r="T9" i="26"/>
  <c r="S9" i="26"/>
  <c r="R9" i="26"/>
  <c r="Q9" i="26"/>
  <c r="P9" i="26"/>
  <c r="P11" i="26" s="1"/>
  <c r="O9" i="26"/>
  <c r="O11" i="26" s="1"/>
  <c r="N9" i="26"/>
  <c r="M9" i="26"/>
  <c r="M11" i="26" s="1"/>
  <c r="L9" i="26"/>
  <c r="K9" i="26"/>
  <c r="K11" i="26" s="1"/>
  <c r="K20" i="26" s="1"/>
  <c r="K78" i="26" s="1"/>
  <c r="J9" i="26"/>
  <c r="J11" i="26" s="1"/>
  <c r="J20" i="26" s="1"/>
  <c r="J78" i="26" s="1"/>
  <c r="I9" i="26"/>
  <c r="I11" i="26" s="1"/>
  <c r="I20" i="26" s="1"/>
  <c r="I78" i="26" s="1"/>
  <c r="I73" i="26" s="1"/>
  <c r="I57" i="20" s="1"/>
  <c r="H9" i="26"/>
  <c r="H11" i="26" s="1"/>
  <c r="H20" i="26" s="1"/>
  <c r="H78" i="26" s="1"/>
  <c r="H73" i="26" s="1"/>
  <c r="H57" i="20" s="1"/>
  <c r="G9" i="26"/>
  <c r="F9" i="26"/>
  <c r="E9" i="26"/>
  <c r="D9" i="26"/>
  <c r="T20" i="74"/>
  <c r="I20" i="74"/>
  <c r="F20" i="74"/>
  <c r="E20" i="74"/>
  <c r="D20" i="74"/>
  <c r="D19" i="74" s="1"/>
  <c r="U18" i="74"/>
  <c r="T18" i="74"/>
  <c r="S18" i="74"/>
  <c r="R18" i="74"/>
  <c r="Q18" i="74"/>
  <c r="P18" i="74"/>
  <c r="O18" i="74"/>
  <c r="N18" i="74"/>
  <c r="M18" i="74"/>
  <c r="L18" i="74"/>
  <c r="K18" i="74"/>
  <c r="J18" i="74"/>
  <c r="I18" i="74"/>
  <c r="H18" i="74"/>
  <c r="G18" i="74"/>
  <c r="F18" i="74"/>
  <c r="E18" i="74"/>
  <c r="D18" i="74"/>
  <c r="U17" i="74"/>
  <c r="T17" i="74"/>
  <c r="T13" i="74" s="1"/>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I15" i="74"/>
  <c r="H15" i="74"/>
  <c r="G15" i="74"/>
  <c r="F15" i="74"/>
  <c r="E15" i="74"/>
  <c r="D15" i="74"/>
  <c r="U14" i="74"/>
  <c r="T14" i="74"/>
  <c r="S14" i="74"/>
  <c r="S13" i="74" s="1"/>
  <c r="R14" i="74"/>
  <c r="Q14" i="74"/>
  <c r="P14" i="74"/>
  <c r="O14" i="74"/>
  <c r="N14" i="74"/>
  <c r="M14" i="74"/>
  <c r="L14" i="74"/>
  <c r="K14" i="74"/>
  <c r="J14" i="74"/>
  <c r="J13" i="74" s="1"/>
  <c r="I14" i="74"/>
  <c r="I13" i="74" s="1"/>
  <c r="H14" i="74"/>
  <c r="G14" i="74"/>
  <c r="F14" i="74"/>
  <c r="E14" i="74"/>
  <c r="D14" i="74"/>
  <c r="U13" i="74"/>
  <c r="H13" i="74"/>
  <c r="U12" i="74"/>
  <c r="T12" i="74"/>
  <c r="S12" i="74"/>
  <c r="R12" i="74"/>
  <c r="Q12" i="74"/>
  <c r="Q20" i="74" s="1"/>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19" i="74" s="1"/>
  <c r="H11" i="74"/>
  <c r="G11" i="74"/>
  <c r="F11" i="74"/>
  <c r="F19" i="74" s="1"/>
  <c r="E11" i="74"/>
  <c r="E19" i="74" s="1"/>
  <c r="D11" i="74"/>
  <c r="AN24" i="25"/>
  <c r="AM24" i="25"/>
  <c r="AL24" i="25"/>
  <c r="AK24" i="25"/>
  <c r="AJ24" i="25"/>
  <c r="AI24" i="25"/>
  <c r="AH24" i="25"/>
  <c r="AG24" i="25"/>
  <c r="AF24" i="25"/>
  <c r="AE24" i="25"/>
  <c r="AD24" i="25"/>
  <c r="AD18" i="25" s="1"/>
  <c r="AE18" i="25" s="1"/>
  <c r="AF18" i="25" s="1"/>
  <c r="AG18" i="25" s="1"/>
  <c r="AH18" i="25" s="1"/>
  <c r="AI18" i="25" s="1"/>
  <c r="AJ18" i="25" s="1"/>
  <c r="AK18" i="25" s="1"/>
  <c r="AL18" i="25" s="1"/>
  <c r="AM18" i="25" s="1"/>
  <c r="AN18" i="25" s="1"/>
  <c r="AC24" i="25"/>
  <c r="AB24" i="25"/>
  <c r="AA24" i="25"/>
  <c r="Z24" i="25"/>
  <c r="Y24" i="25"/>
  <c r="X24" i="25"/>
  <c r="I21" i="25"/>
  <c r="H21" i="25"/>
  <c r="G21" i="25"/>
  <c r="F21" i="25"/>
  <c r="E21" i="25"/>
  <c r="D21" i="25"/>
  <c r="AC20" i="25"/>
  <c r="Z20" i="25"/>
  <c r="L20"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C17" i="25"/>
  <c r="AD17" i="25" s="1"/>
  <c r="AE17" i="25" s="1"/>
  <c r="AF17" i="25" s="1"/>
  <c r="AG17" i="25" s="1"/>
  <c r="AH17" i="25" s="1"/>
  <c r="AI17" i="25" s="1"/>
  <c r="AB17" i="25"/>
  <c r="AA17" i="25"/>
  <c r="Z17" i="25"/>
  <c r="Z14" i="25" s="1"/>
  <c r="Y17" i="25"/>
  <c r="X17" i="25"/>
  <c r="W17" i="25"/>
  <c r="V17" i="25"/>
  <c r="U17" i="25"/>
  <c r="T17" i="25"/>
  <c r="S17" i="25"/>
  <c r="R17" i="25"/>
  <c r="Q17" i="25"/>
  <c r="P17" i="25"/>
  <c r="O17" i="25"/>
  <c r="O14" i="25" s="1"/>
  <c r="N17" i="25"/>
  <c r="M17" i="25"/>
  <c r="L17" i="25"/>
  <c r="K17" i="25"/>
  <c r="J17" i="25"/>
  <c r="I17" i="25"/>
  <c r="H17" i="25"/>
  <c r="G17" i="25"/>
  <c r="F17" i="25"/>
  <c r="E17" i="25"/>
  <c r="D17" i="25"/>
  <c r="AD16" i="25"/>
  <c r="AE16" i="25" s="1"/>
  <c r="AF16" i="25" s="1"/>
  <c r="AG16" i="25" s="1"/>
  <c r="AC16" i="25"/>
  <c r="AB16" i="25"/>
  <c r="AA16" i="25"/>
  <c r="Z16" i="25"/>
  <c r="Y16" i="25"/>
  <c r="Y14" i="25" s="1"/>
  <c r="X16" i="25"/>
  <c r="W16" i="25"/>
  <c r="W14" i="25" s="1"/>
  <c r="V16" i="25"/>
  <c r="U16" i="25"/>
  <c r="T16" i="25"/>
  <c r="S16" i="25"/>
  <c r="R16" i="25"/>
  <c r="Q16" i="25"/>
  <c r="P16" i="25"/>
  <c r="O16" i="25"/>
  <c r="N16" i="25"/>
  <c r="M16" i="25"/>
  <c r="L16" i="25"/>
  <c r="K16" i="25"/>
  <c r="K14" i="25" s="1"/>
  <c r="J16" i="25"/>
  <c r="J14" i="25" s="1"/>
  <c r="I16" i="25"/>
  <c r="I14" i="25" s="1"/>
  <c r="H16" i="25"/>
  <c r="G16" i="25"/>
  <c r="F16" i="25"/>
  <c r="E16" i="25"/>
  <c r="D16" i="25"/>
  <c r="AC15" i="25"/>
  <c r="AB15" i="25"/>
  <c r="AA15" i="25"/>
  <c r="Z15" i="25"/>
  <c r="Y15" i="25"/>
  <c r="X15" i="25"/>
  <c r="W15" i="25"/>
  <c r="V15" i="25"/>
  <c r="V14" i="25" s="1"/>
  <c r="U15" i="25"/>
  <c r="U14" i="25" s="1"/>
  <c r="T15" i="25"/>
  <c r="S15" i="25"/>
  <c r="S14" i="25" s="1"/>
  <c r="S21" i="25" s="1"/>
  <c r="R15" i="25"/>
  <c r="Q15" i="25"/>
  <c r="P15" i="25"/>
  <c r="P14" i="25" s="1"/>
  <c r="O15" i="25"/>
  <c r="N15" i="25"/>
  <c r="M15" i="25"/>
  <c r="L15" i="25"/>
  <c r="K15" i="25"/>
  <c r="J15" i="25"/>
  <c r="I15" i="25"/>
  <c r="H15" i="25"/>
  <c r="H14" i="25" s="1"/>
  <c r="G15" i="25"/>
  <c r="F15" i="25"/>
  <c r="E15" i="25"/>
  <c r="D15" i="25"/>
  <c r="AC14" i="25"/>
  <c r="AB14" i="25"/>
  <c r="N14" i="25"/>
  <c r="M14" i="25"/>
  <c r="L14" i="25"/>
  <c r="AD13" i="25"/>
  <c r="AC13" i="25"/>
  <c r="AB13" i="25"/>
  <c r="AA13" i="25"/>
  <c r="Z13" i="25"/>
  <c r="Y13" i="25"/>
  <c r="X13" i="25"/>
  <c r="W13" i="25"/>
  <c r="V13" i="25"/>
  <c r="U13" i="25"/>
  <c r="U21" i="25" s="1"/>
  <c r="T13" i="25"/>
  <c r="S13" i="25"/>
  <c r="R13" i="25"/>
  <c r="Q13" i="25"/>
  <c r="Q21" i="25" s="1"/>
  <c r="P13" i="25"/>
  <c r="O13" i="25"/>
  <c r="N13" i="25"/>
  <c r="M13" i="25"/>
  <c r="L13" i="25"/>
  <c r="K13" i="25"/>
  <c r="J13" i="25"/>
  <c r="I13" i="25"/>
  <c r="H13" i="25"/>
  <c r="G13" i="25"/>
  <c r="F13" i="25"/>
  <c r="E13" i="25"/>
  <c r="D13" i="25"/>
  <c r="AC11" i="25"/>
  <c r="AB11" i="25"/>
  <c r="AB20" i="25" s="1"/>
  <c r="AA11" i="25"/>
  <c r="AA20" i="25" s="1"/>
  <c r="Z11" i="25"/>
  <c r="Y11" i="25"/>
  <c r="X11" i="25"/>
  <c r="W11" i="25"/>
  <c r="V11" i="25"/>
  <c r="U11" i="25"/>
  <c r="U20" i="25" s="1"/>
  <c r="T11" i="25"/>
  <c r="S11" i="25"/>
  <c r="R11" i="25"/>
  <c r="Q11" i="25"/>
  <c r="P11" i="25"/>
  <c r="O11" i="25"/>
  <c r="N11" i="25"/>
  <c r="M11" i="25"/>
  <c r="L11" i="25"/>
  <c r="L21" i="25" s="1"/>
  <c r="K11" i="25"/>
  <c r="J11" i="25"/>
  <c r="I11" i="25"/>
  <c r="I20" i="25" s="1"/>
  <c r="H11" i="25"/>
  <c r="H20" i="25" s="1"/>
  <c r="G11" i="25"/>
  <c r="G20" i="25" s="1"/>
  <c r="F11" i="25"/>
  <c r="F20" i="25" s="1"/>
  <c r="E11" i="25"/>
  <c r="D11" i="25"/>
  <c r="O14" i="56"/>
  <c r="O13" i="56"/>
  <c r="O12" i="56"/>
  <c r="O11" i="56"/>
  <c r="O10" i="56"/>
  <c r="O9" i="56"/>
  <c r="O8" i="56"/>
  <c r="O7" i="56"/>
  <c r="O6" i="56"/>
  <c r="O5" i="56"/>
  <c r="O4" i="56"/>
  <c r="O3" i="56"/>
  <c r="F2" i="56"/>
  <c r="G2" i="56" s="1"/>
  <c r="H2" i="56" s="1"/>
  <c r="I2" i="56" s="1"/>
  <c r="J2" i="56" s="1"/>
  <c r="K2" i="56" s="1"/>
  <c r="L2" i="56" s="1"/>
  <c r="M2" i="56" s="1"/>
  <c r="N2" i="56" s="1"/>
  <c r="E2" i="56"/>
  <c r="D2" i="56"/>
  <c r="K24" i="35"/>
  <c r="I24" i="35"/>
  <c r="H24" i="35"/>
  <c r="G24" i="35"/>
  <c r="F24" i="35"/>
  <c r="E24" i="35"/>
  <c r="D24" i="35"/>
  <c r="C24" i="35"/>
  <c r="K23" i="35"/>
  <c r="L25" i="55" s="1"/>
  <c r="L122" i="55" s="1"/>
  <c r="J23" i="35"/>
  <c r="I23" i="35"/>
  <c r="J25" i="55" s="1"/>
  <c r="J122" i="55" s="1"/>
  <c r="H23" i="35"/>
  <c r="I25" i="55" s="1"/>
  <c r="G23" i="35"/>
  <c r="H25" i="55" s="1"/>
  <c r="H122" i="55" s="1"/>
  <c r="F23" i="35"/>
  <c r="G25" i="55" s="1"/>
  <c r="E23" i="35"/>
  <c r="F25" i="55" s="1"/>
  <c r="F122" i="55" s="1"/>
  <c r="C23" i="35"/>
  <c r="D25" i="55" s="1"/>
  <c r="C21" i="35"/>
  <c r="D23" i="55" s="1"/>
  <c r="D87" i="55" s="1"/>
  <c r="F16" i="35"/>
  <c r="G18" i="55" s="1"/>
  <c r="K15" i="35"/>
  <c r="L17" i="55" s="1"/>
  <c r="L114" i="55" s="1"/>
  <c r="J15" i="35"/>
  <c r="K17" i="55" s="1"/>
  <c r="I15" i="35"/>
  <c r="J17" i="55" s="1"/>
  <c r="J114" i="55" s="1"/>
  <c r="H15" i="35"/>
  <c r="I17" i="55" s="1"/>
  <c r="I114" i="55" s="1"/>
  <c r="G15" i="35"/>
  <c r="H17" i="55" s="1"/>
  <c r="H81" i="55" s="1"/>
  <c r="K14" i="35"/>
  <c r="J14" i="35"/>
  <c r="K16" i="55" s="1"/>
  <c r="I14" i="35"/>
  <c r="J16" i="55" s="1"/>
  <c r="H14" i="35"/>
  <c r="G14" i="35"/>
  <c r="F14" i="35"/>
  <c r="E14" i="35"/>
  <c r="F16" i="55" s="1"/>
  <c r="D14" i="35"/>
  <c r="C14" i="35"/>
  <c r="K13" i="35"/>
  <c r="J13" i="35"/>
  <c r="I13" i="35"/>
  <c r="H13" i="35"/>
  <c r="G13" i="35"/>
  <c r="F13" i="35"/>
  <c r="E13" i="35"/>
  <c r="F15" i="55" s="1"/>
  <c r="D13" i="35"/>
  <c r="E15" i="55" s="1"/>
  <c r="C13" i="35"/>
  <c r="C12" i="35"/>
  <c r="K9" i="35"/>
  <c r="L11" i="55" s="1"/>
  <c r="L75" i="55" s="1"/>
  <c r="J9" i="35"/>
  <c r="K11" i="55" s="1"/>
  <c r="I9" i="35"/>
  <c r="J11" i="55" s="1"/>
  <c r="J108" i="55" s="1"/>
  <c r="H9" i="35"/>
  <c r="G9" i="35"/>
  <c r="F9" i="35"/>
  <c r="E9" i="35"/>
  <c r="D9" i="35"/>
  <c r="C9" i="35"/>
  <c r="C8" i="35"/>
  <c r="D10" i="55" s="1"/>
  <c r="K7" i="35"/>
  <c r="J7" i="35"/>
  <c r="I7" i="35"/>
  <c r="H7" i="35"/>
  <c r="G7" i="35"/>
  <c r="F7" i="35"/>
  <c r="E7" i="35"/>
  <c r="F9" i="55" s="1"/>
  <c r="F106" i="55" s="1"/>
  <c r="J3" i="35"/>
  <c r="G3" i="35"/>
  <c r="H5" i="55" s="1"/>
  <c r="H102" i="55" s="1"/>
  <c r="AJ92" i="80"/>
  <c r="AI92" i="80"/>
  <c r="AH92" i="80"/>
  <c r="AG92" i="80"/>
  <c r="AF92" i="80"/>
  <c r="AE92" i="80"/>
  <c r="AD92" i="80"/>
  <c r="AC92" i="80"/>
  <c r="AB92" i="80"/>
  <c r="AJ90" i="80"/>
  <c r="AI90" i="80"/>
  <c r="AH90" i="80"/>
  <c r="AG90" i="80"/>
  <c r="AF90" i="80"/>
  <c r="AE90" i="80"/>
  <c r="AD90" i="80"/>
  <c r="AC90" i="80"/>
  <c r="AB90" i="80"/>
  <c r="AB91" i="80" s="1"/>
  <c r="K32" i="55"/>
  <c r="K129" i="55" s="1"/>
  <c r="F32" i="55"/>
  <c r="D32" i="55"/>
  <c r="L31" i="55"/>
  <c r="L128" i="55" s="1"/>
  <c r="K31" i="55"/>
  <c r="K128" i="55" s="1"/>
  <c r="F31" i="55"/>
  <c r="F96" i="55" s="1"/>
  <c r="D31" i="55"/>
  <c r="D128" i="55" s="1"/>
  <c r="L30" i="55"/>
  <c r="L127" i="55" s="1"/>
  <c r="K30" i="55"/>
  <c r="K127" i="55" s="1"/>
  <c r="F30" i="55"/>
  <c r="F95" i="55" s="1"/>
  <c r="E30" i="55"/>
  <c r="E95" i="55" s="1"/>
  <c r="D30" i="55"/>
  <c r="D95" i="55" s="1"/>
  <c r="L29" i="55"/>
  <c r="L126" i="55" s="1"/>
  <c r="K29" i="55"/>
  <c r="J29" i="55"/>
  <c r="J94" i="55" s="1"/>
  <c r="I29" i="55"/>
  <c r="H29" i="55"/>
  <c r="H126" i="55" s="1"/>
  <c r="G29" i="55"/>
  <c r="G126" i="55" s="1"/>
  <c r="F29" i="55"/>
  <c r="F126" i="55" s="1"/>
  <c r="E29" i="55"/>
  <c r="D29" i="55"/>
  <c r="D126" i="55" s="1"/>
  <c r="I28" i="55"/>
  <c r="I93" i="55" s="1"/>
  <c r="H28" i="55"/>
  <c r="H93" i="55" s="1"/>
  <c r="G28" i="55"/>
  <c r="G93" i="55" s="1"/>
  <c r="F28" i="55"/>
  <c r="F93" i="55" s="1"/>
  <c r="E28" i="55"/>
  <c r="E93" i="55" s="1"/>
  <c r="D28" i="55"/>
  <c r="K25" i="55"/>
  <c r="K122" i="55" s="1"/>
  <c r="C25" i="55"/>
  <c r="B25" i="55"/>
  <c r="C24" i="55"/>
  <c r="B24" i="55"/>
  <c r="C23" i="55"/>
  <c r="B23" i="55"/>
  <c r="C22" i="55"/>
  <c r="B22" i="55"/>
  <c r="C21" i="55"/>
  <c r="B21" i="55"/>
  <c r="C20" i="55"/>
  <c r="B20" i="55"/>
  <c r="C19" i="55"/>
  <c r="B19" i="55"/>
  <c r="C18" i="55"/>
  <c r="B18" i="55"/>
  <c r="C17" i="55"/>
  <c r="B17" i="55"/>
  <c r="L16" i="55"/>
  <c r="L80" i="55" s="1"/>
  <c r="I16" i="55"/>
  <c r="I80" i="55" s="1"/>
  <c r="H16" i="55"/>
  <c r="H113" i="55" s="1"/>
  <c r="G16" i="55"/>
  <c r="G113" i="55" s="1"/>
  <c r="E16" i="55"/>
  <c r="E113" i="55" s="1"/>
  <c r="D16" i="55"/>
  <c r="D113" i="55" s="1"/>
  <c r="C16" i="55"/>
  <c r="B16" i="55"/>
  <c r="L15" i="55"/>
  <c r="L112" i="55" s="1"/>
  <c r="K15" i="55"/>
  <c r="K79" i="55" s="1"/>
  <c r="J15" i="55"/>
  <c r="J112" i="55" s="1"/>
  <c r="I15" i="55"/>
  <c r="I112" i="55" s="1"/>
  <c r="H15" i="55"/>
  <c r="H112" i="55" s="1"/>
  <c r="G15" i="55"/>
  <c r="G79" i="55" s="1"/>
  <c r="D15" i="55"/>
  <c r="D79" i="55" s="1"/>
  <c r="C15" i="55"/>
  <c r="B15" i="55"/>
  <c r="D14" i="55"/>
  <c r="D78" i="55" s="1"/>
  <c r="C14" i="55"/>
  <c r="B14" i="55"/>
  <c r="C13" i="55"/>
  <c r="B13" i="55"/>
  <c r="C12" i="55"/>
  <c r="B12" i="55"/>
  <c r="I11" i="55"/>
  <c r="H11" i="55"/>
  <c r="H108" i="55" s="1"/>
  <c r="G11" i="55"/>
  <c r="F11" i="55"/>
  <c r="F108" i="55" s="1"/>
  <c r="E11" i="55"/>
  <c r="E75" i="55" s="1"/>
  <c r="D11" i="55"/>
  <c r="D108" i="55" s="1"/>
  <c r="C11" i="55"/>
  <c r="B11" i="55"/>
  <c r="C10" i="55"/>
  <c r="B10" i="55"/>
  <c r="L9" i="55"/>
  <c r="L106" i="55" s="1"/>
  <c r="K9" i="55"/>
  <c r="K106" i="55" s="1"/>
  <c r="J9" i="55"/>
  <c r="J106" i="55" s="1"/>
  <c r="I9" i="55"/>
  <c r="I73" i="55" s="1"/>
  <c r="H9" i="55"/>
  <c r="H106" i="55" s="1"/>
  <c r="G9" i="55"/>
  <c r="G73" i="55" s="1"/>
  <c r="C9" i="55"/>
  <c r="B9" i="55"/>
  <c r="C8" i="55"/>
  <c r="B8" i="55"/>
  <c r="C7" i="55"/>
  <c r="B7" i="55"/>
  <c r="C6" i="55"/>
  <c r="B6" i="55"/>
  <c r="K5" i="55"/>
  <c r="K69" i="55" s="1"/>
  <c r="C5" i="55"/>
  <c r="B5" i="55"/>
  <c r="C4" i="55"/>
  <c r="B4" i="55"/>
  <c r="C3" i="55"/>
  <c r="B3" i="55"/>
  <c r="I6" i="71"/>
  <c r="D6" i="71"/>
  <c r="I5" i="71"/>
  <c r="D5" i="71"/>
  <c r="J4" i="71"/>
  <c r="I4" i="71"/>
  <c r="D4" i="71"/>
  <c r="J3" i="71"/>
  <c r="I3" i="71"/>
  <c r="H3" i="71"/>
  <c r="G3" i="71"/>
  <c r="F3" i="71"/>
  <c r="E3" i="71"/>
  <c r="D3" i="71"/>
  <c r="C3" i="71"/>
  <c r="G2" i="71"/>
  <c r="F2" i="71"/>
  <c r="E2" i="71"/>
  <c r="C2" i="71"/>
  <c r="V11" i="50"/>
  <c r="T11" i="50"/>
  <c r="R11" i="50"/>
  <c r="Q11" i="50"/>
  <c r="P11" i="50"/>
  <c r="O11" i="50"/>
  <c r="N11" i="50"/>
  <c r="M11" i="50"/>
  <c r="L11" i="50"/>
  <c r="K11" i="50"/>
  <c r="J11" i="50"/>
  <c r="I11" i="50"/>
  <c r="H11" i="50"/>
  <c r="G11" i="50"/>
  <c r="F11" i="50"/>
  <c r="E11" i="50"/>
  <c r="D11" i="50"/>
  <c r="V10" i="50"/>
  <c r="U10" i="50"/>
  <c r="T10" i="50"/>
  <c r="S10" i="50"/>
  <c r="R10" i="50"/>
  <c r="Q10" i="50"/>
  <c r="P10" i="50"/>
  <c r="N10" i="50"/>
  <c r="M10" i="50"/>
  <c r="L10" i="50"/>
  <c r="K10" i="50"/>
  <c r="U9" i="50"/>
  <c r="N9" i="50"/>
  <c r="J9" i="50"/>
  <c r="I9" i="50"/>
  <c r="H9" i="50"/>
  <c r="G9" i="50"/>
  <c r="F9" i="50"/>
  <c r="E9" i="50"/>
  <c r="D9" i="50"/>
  <c r="V8" i="50"/>
  <c r="U8" i="50"/>
  <c r="T8" i="50"/>
  <c r="S8" i="50"/>
  <c r="R8" i="50"/>
  <c r="Q8" i="50"/>
  <c r="P8" i="50"/>
  <c r="O8" i="50"/>
  <c r="N8" i="50"/>
  <c r="V7" i="50"/>
  <c r="U7" i="50"/>
  <c r="T7" i="50"/>
  <c r="S7" i="50"/>
  <c r="R7" i="50"/>
  <c r="Q7" i="50"/>
  <c r="P7" i="50"/>
  <c r="O7" i="50"/>
  <c r="N7" i="50"/>
  <c r="M7" i="50"/>
  <c r="L7" i="50"/>
  <c r="K7" i="50"/>
  <c r="J7" i="50"/>
  <c r="I7" i="50"/>
  <c r="H7" i="50"/>
  <c r="G7" i="50"/>
  <c r="F7" i="50"/>
  <c r="E7" i="50"/>
  <c r="D7" i="50"/>
  <c r="M6" i="50"/>
  <c r="K6" i="50"/>
  <c r="J6" i="50"/>
  <c r="G6" i="50"/>
  <c r="F6" i="50"/>
  <c r="E6" i="50"/>
  <c r="D6" i="50"/>
  <c r="D5" i="50"/>
  <c r="M4" i="50"/>
  <c r="E4" i="50"/>
  <c r="D4" i="50"/>
  <c r="F81" i="46"/>
  <c r="G81" i="46" s="1"/>
  <c r="E81" i="46"/>
  <c r="C81" i="46"/>
  <c r="E80" i="46"/>
  <c r="F80" i="46" s="1"/>
  <c r="G80" i="46" s="1"/>
  <c r="C80" i="46"/>
  <c r="F79" i="46"/>
  <c r="G79" i="46" s="1"/>
  <c r="E79" i="46"/>
  <c r="C79" i="46"/>
  <c r="E78" i="46"/>
  <c r="F78" i="46" s="1"/>
  <c r="G78" i="46" s="1"/>
  <c r="C78" i="46"/>
  <c r="G77" i="46"/>
  <c r="E77" i="46"/>
  <c r="F77" i="46" s="1"/>
  <c r="C77" i="46"/>
  <c r="E76" i="46"/>
  <c r="F76" i="46" s="1"/>
  <c r="G76" i="46" s="1"/>
  <c r="C76" i="46"/>
  <c r="G75" i="46"/>
  <c r="F75" i="46"/>
  <c r="E75" i="46"/>
  <c r="C75" i="46"/>
  <c r="F74" i="46"/>
  <c r="G74" i="46" s="1"/>
  <c r="E74" i="46"/>
  <c r="C74" i="46"/>
  <c r="G73" i="46"/>
  <c r="E73" i="46"/>
  <c r="F73" i="46" s="1"/>
  <c r="C73" i="46"/>
  <c r="E72" i="46"/>
  <c r="F72" i="46" s="1"/>
  <c r="G72" i="46" s="1"/>
  <c r="C72" i="46"/>
  <c r="E71" i="46"/>
  <c r="F71" i="46" s="1"/>
  <c r="G71" i="46" s="1"/>
  <c r="C71" i="46"/>
  <c r="G70" i="46"/>
  <c r="E70" i="46"/>
  <c r="F70" i="46" s="1"/>
  <c r="C70" i="46"/>
  <c r="E69" i="46"/>
  <c r="F69" i="46" s="1"/>
  <c r="G69" i="46" s="1"/>
  <c r="C69" i="46"/>
  <c r="G68" i="46"/>
  <c r="F68" i="46"/>
  <c r="E68" i="46"/>
  <c r="C68" i="46"/>
  <c r="E67" i="46"/>
  <c r="F67" i="46" s="1"/>
  <c r="G67" i="46" s="1"/>
  <c r="C67" i="46"/>
  <c r="G66" i="46"/>
  <c r="E66" i="46"/>
  <c r="F66" i="46" s="1"/>
  <c r="C66" i="46"/>
  <c r="E65" i="46"/>
  <c r="F65" i="46" s="1"/>
  <c r="G65" i="46" s="1"/>
  <c r="C65" i="46"/>
  <c r="E64" i="46"/>
  <c r="F64" i="46" s="1"/>
  <c r="G64" i="46" s="1"/>
  <c r="C64" i="46"/>
  <c r="E63" i="46"/>
  <c r="F63" i="46" s="1"/>
  <c r="G63" i="46" s="1"/>
  <c r="C63" i="46"/>
  <c r="E62" i="46"/>
  <c r="F62" i="46" s="1"/>
  <c r="G62" i="46" s="1"/>
  <c r="C62" i="46"/>
  <c r="G61" i="46"/>
  <c r="F61" i="46"/>
  <c r="E61" i="46"/>
  <c r="C61" i="46"/>
  <c r="E60" i="46"/>
  <c r="F60" i="46" s="1"/>
  <c r="G60" i="46" s="1"/>
  <c r="C60" i="46"/>
  <c r="E59" i="46"/>
  <c r="F59" i="46" s="1"/>
  <c r="G59" i="46" s="1"/>
  <c r="C59" i="46"/>
  <c r="E58" i="46"/>
  <c r="F58" i="46" s="1"/>
  <c r="G58" i="46" s="1"/>
  <c r="C58" i="46"/>
  <c r="F57" i="46"/>
  <c r="E57" i="46"/>
  <c r="C57" i="46"/>
  <c r="G56" i="46"/>
  <c r="F56" i="46"/>
  <c r="E56" i="46"/>
  <c r="C56" i="46"/>
  <c r="E55" i="46"/>
  <c r="F55" i="46" s="1"/>
  <c r="G55" i="46" s="1"/>
  <c r="C55" i="46"/>
  <c r="E54" i="46"/>
  <c r="F54" i="46" s="1"/>
  <c r="G54" i="46" s="1"/>
  <c r="C54" i="46"/>
  <c r="E53" i="46"/>
  <c r="F53" i="46" s="1"/>
  <c r="G53" i="46" s="1"/>
  <c r="C53" i="46"/>
  <c r="F52" i="46"/>
  <c r="G52" i="46" s="1"/>
  <c r="E52" i="46"/>
  <c r="C52" i="46"/>
  <c r="E51" i="46"/>
  <c r="F51" i="46" s="1"/>
  <c r="G51" i="46" s="1"/>
  <c r="C51" i="46"/>
  <c r="G50" i="46"/>
  <c r="F50" i="46"/>
  <c r="E50" i="46"/>
  <c r="C50" i="46"/>
  <c r="F49" i="46"/>
  <c r="G49" i="46" s="1"/>
  <c r="E49" i="46"/>
  <c r="C49" i="46"/>
  <c r="F48" i="46"/>
  <c r="G48" i="46" s="1"/>
  <c r="E48" i="46"/>
  <c r="C48" i="46"/>
  <c r="E47" i="46"/>
  <c r="F47" i="46" s="1"/>
  <c r="G47" i="46" s="1"/>
  <c r="C47" i="46"/>
  <c r="E46" i="46"/>
  <c r="F46" i="46" s="1"/>
  <c r="G46" i="46" s="1"/>
  <c r="C46" i="46"/>
  <c r="F45" i="46"/>
  <c r="G45" i="46" s="1"/>
  <c r="E45" i="46"/>
  <c r="C45" i="46"/>
  <c r="E44" i="46"/>
  <c r="F44" i="46" s="1"/>
  <c r="G44" i="46" s="1"/>
  <c r="C44" i="46"/>
  <c r="G43" i="46"/>
  <c r="F43" i="46"/>
  <c r="E43" i="46"/>
  <c r="C43" i="46"/>
  <c r="F42" i="46"/>
  <c r="G42" i="46" s="1"/>
  <c r="E42" i="46"/>
  <c r="C42" i="46"/>
  <c r="E41" i="46"/>
  <c r="F41" i="46" s="1"/>
  <c r="G41" i="46" s="1"/>
  <c r="C41" i="46"/>
  <c r="F40" i="46"/>
  <c r="G40" i="46" s="1"/>
  <c r="E40" i="46"/>
  <c r="C40" i="46"/>
  <c r="E39" i="46"/>
  <c r="F39" i="46" s="1"/>
  <c r="G39" i="46" s="1"/>
  <c r="C39" i="46"/>
  <c r="F38" i="46"/>
  <c r="G38" i="46" s="1"/>
  <c r="E38" i="46"/>
  <c r="C38" i="46"/>
  <c r="F37" i="46"/>
  <c r="G37" i="46" s="1"/>
  <c r="E37" i="46"/>
  <c r="C37" i="46"/>
  <c r="G36" i="46"/>
  <c r="F36" i="46"/>
  <c r="E36" i="46"/>
  <c r="C36" i="46"/>
  <c r="G35" i="46"/>
  <c r="F35" i="46"/>
  <c r="E35" i="46"/>
  <c r="C35" i="46"/>
  <c r="E34" i="46"/>
  <c r="F34" i="46" s="1"/>
  <c r="G34" i="46" s="1"/>
  <c r="C34" i="46"/>
  <c r="E33" i="46"/>
  <c r="F33" i="46" s="1"/>
  <c r="G33" i="46" s="1"/>
  <c r="C33" i="46"/>
  <c r="E32" i="46"/>
  <c r="F32" i="46" s="1"/>
  <c r="G32" i="46" s="1"/>
  <c r="C32" i="46"/>
  <c r="F31" i="46"/>
  <c r="G31" i="46" s="1"/>
  <c r="E31" i="46"/>
  <c r="E30" i="46"/>
  <c r="F30" i="46" s="1"/>
  <c r="G30" i="46" s="1"/>
  <c r="F29" i="46"/>
  <c r="G29" i="46" s="1"/>
  <c r="E29" i="46"/>
  <c r="E28" i="46"/>
  <c r="F28" i="46" s="1"/>
  <c r="G28" i="46" s="1"/>
  <c r="F27" i="46"/>
  <c r="G27" i="46" s="1"/>
  <c r="E27" i="46"/>
  <c r="C27" i="46"/>
  <c r="F26" i="46"/>
  <c r="G26" i="46" s="1"/>
  <c r="E26" i="46"/>
  <c r="C26" i="46"/>
  <c r="E25" i="46"/>
  <c r="F25" i="46" s="1"/>
  <c r="G25" i="46" s="1"/>
  <c r="C25" i="46"/>
  <c r="E24" i="46"/>
  <c r="F24" i="46" s="1"/>
  <c r="G24" i="46" s="1"/>
  <c r="C24" i="46"/>
  <c r="F23" i="46"/>
  <c r="G23" i="46" s="1"/>
  <c r="E23" i="46"/>
  <c r="C23" i="46"/>
  <c r="E22" i="46"/>
  <c r="F22" i="46" s="1"/>
  <c r="G22" i="46" s="1"/>
  <c r="C22" i="46"/>
  <c r="G21" i="46"/>
  <c r="F21" i="46"/>
  <c r="E21" i="46"/>
  <c r="C21" i="46"/>
  <c r="F20" i="46"/>
  <c r="G20" i="46" s="1"/>
  <c r="E20" i="46"/>
  <c r="C20" i="46"/>
  <c r="E19" i="46"/>
  <c r="F19" i="46" s="1"/>
  <c r="G19" i="46" s="1"/>
  <c r="C19" i="46"/>
  <c r="F18" i="46"/>
  <c r="G18" i="46" s="1"/>
  <c r="E18" i="46"/>
  <c r="C18" i="46"/>
  <c r="E17" i="46"/>
  <c r="F17" i="46" s="1"/>
  <c r="G17" i="46" s="1"/>
  <c r="C17" i="46"/>
  <c r="F16" i="46"/>
  <c r="G16" i="46" s="1"/>
  <c r="E16" i="46"/>
  <c r="C16" i="46"/>
  <c r="F15" i="46"/>
  <c r="G15" i="46" s="1"/>
  <c r="E15" i="46"/>
  <c r="C15" i="46"/>
  <c r="G14" i="46"/>
  <c r="F14" i="46"/>
  <c r="E14" i="46"/>
  <c r="C14" i="46"/>
  <c r="G13" i="46"/>
  <c r="F13" i="46"/>
  <c r="E13" i="46"/>
  <c r="C13" i="46"/>
  <c r="E12" i="46"/>
  <c r="F12" i="46" s="1"/>
  <c r="G12" i="46" s="1"/>
  <c r="C12" i="46"/>
  <c r="E11" i="46"/>
  <c r="F11" i="46" s="1"/>
  <c r="G11" i="46" s="1"/>
  <c r="C11" i="46"/>
  <c r="E10" i="46"/>
  <c r="F10" i="46" s="1"/>
  <c r="G10" i="46" s="1"/>
  <c r="C10" i="46"/>
  <c r="F9" i="46"/>
  <c r="G9" i="46" s="1"/>
  <c r="E9" i="46"/>
  <c r="C9" i="46"/>
  <c r="E8" i="46"/>
  <c r="F8" i="46" s="1"/>
  <c r="G8" i="46" s="1"/>
  <c r="C8" i="46"/>
  <c r="G7" i="46"/>
  <c r="F7" i="46"/>
  <c r="E7" i="46"/>
  <c r="C7" i="46"/>
  <c r="G6" i="46"/>
  <c r="F6" i="46"/>
  <c r="E6" i="46"/>
  <c r="C6" i="46"/>
  <c r="F5" i="46"/>
  <c r="G5" i="46" s="1"/>
  <c r="E5" i="46"/>
  <c r="C5" i="46"/>
  <c r="E4" i="46"/>
  <c r="F4" i="46" s="1"/>
  <c r="G4" i="46" s="1"/>
  <c r="C4" i="46"/>
  <c r="E3" i="46"/>
  <c r="F3" i="46" s="1"/>
  <c r="G3" i="46" s="1"/>
  <c r="C3" i="46"/>
  <c r="C2" i="46"/>
  <c r="Q24" i="25"/>
  <c r="P24" i="25"/>
  <c r="O24" i="25"/>
  <c r="U23" i="74"/>
  <c r="N24" i="25"/>
  <c r="T23" i="74"/>
  <c r="M24" i="25"/>
  <c r="S23" i="74"/>
  <c r="R23" i="74"/>
  <c r="P23" i="74"/>
  <c r="R24" i="25"/>
  <c r="Q23" i="74"/>
  <c r="O23" i="74"/>
  <c r="M23" i="74"/>
  <c r="N23" i="74"/>
  <c r="U24" i="25"/>
  <c r="T24" i="25"/>
  <c r="S24" i="25"/>
  <c r="L138" i="48" l="1"/>
  <c r="P147" i="48"/>
  <c r="M151" i="48"/>
  <c r="K149" i="48"/>
  <c r="S152" i="48"/>
  <c r="F101" i="48"/>
  <c r="O9" i="48"/>
  <c r="Z138" i="48"/>
  <c r="P139" i="48"/>
  <c r="H30" i="48"/>
  <c r="V30" i="48"/>
  <c r="L123" i="48"/>
  <c r="Z123" i="48"/>
  <c r="P124" i="48"/>
  <c r="D12" i="55"/>
  <c r="F29" i="48"/>
  <c r="T29" i="48"/>
  <c r="X30" i="48"/>
  <c r="S149" i="48"/>
  <c r="G29" i="48"/>
  <c r="N127" i="48"/>
  <c r="R127" i="48"/>
  <c r="R136" i="48" s="1"/>
  <c r="S127" i="48"/>
  <c r="S120" i="48" s="1"/>
  <c r="I34" i="48"/>
  <c r="J34" i="48" s="1"/>
  <c r="K34" i="48" s="1"/>
  <c r="S30" i="48"/>
  <c r="F30" i="48"/>
  <c r="N124" i="48"/>
  <c r="I104" i="48" s="1"/>
  <c r="J104" i="48" s="1"/>
  <c r="K104" i="48" s="1"/>
  <c r="L104" i="48" s="1"/>
  <c r="P29" i="48"/>
  <c r="K148" i="48"/>
  <c r="O149" i="48"/>
  <c r="H35" i="48"/>
  <c r="H72" i="48" s="1"/>
  <c r="H79" i="48" s="1"/>
  <c r="Q9" i="48"/>
  <c r="S21" i="48"/>
  <c r="F102" i="48"/>
  <c r="R149" i="48"/>
  <c r="AC9" i="48"/>
  <c r="C19" i="35" s="1"/>
  <c r="D21" i="55" s="1"/>
  <c r="D118" i="55" s="1"/>
  <c r="U21" i="48"/>
  <c r="P127" i="48"/>
  <c r="P136" i="48" s="1"/>
  <c r="H125" i="55"/>
  <c r="I125" i="55"/>
  <c r="K95" i="55"/>
  <c r="L95" i="55"/>
  <c r="D96" i="55"/>
  <c r="E108" i="55"/>
  <c r="D127" i="55"/>
  <c r="E127" i="55"/>
  <c r="H69" i="55"/>
  <c r="F127" i="55"/>
  <c r="F73" i="55"/>
  <c r="J79" i="55"/>
  <c r="L79" i="55"/>
  <c r="E80" i="55"/>
  <c r="E122" i="55"/>
  <c r="E89" i="55"/>
  <c r="D122" i="55"/>
  <c r="D89" i="55"/>
  <c r="L96" i="55"/>
  <c r="J89" i="55"/>
  <c r="D111" i="55"/>
  <c r="H73" i="55"/>
  <c r="K89" i="55"/>
  <c r="I113" i="55"/>
  <c r="D75" i="55"/>
  <c r="L113" i="55"/>
  <c r="L73" i="55"/>
  <c r="F94" i="55"/>
  <c r="F75" i="55"/>
  <c r="K96" i="55"/>
  <c r="H75" i="55"/>
  <c r="E125" i="55"/>
  <c r="H89" i="55"/>
  <c r="H79" i="55"/>
  <c r="F125" i="55"/>
  <c r="C11" i="35"/>
  <c r="D13" i="55" s="1"/>
  <c r="D110" i="55" s="1"/>
  <c r="D37" i="59"/>
  <c r="D38" i="59" s="1"/>
  <c r="W45" i="75"/>
  <c r="S15" i="20"/>
  <c r="N34" i="20"/>
  <c r="AB34" i="20"/>
  <c r="C5" i="35"/>
  <c r="D7" i="55" s="1"/>
  <c r="D104" i="55" s="1"/>
  <c r="AD35" i="20"/>
  <c r="T34" i="20"/>
  <c r="AE14" i="20"/>
  <c r="S34" i="20"/>
  <c r="U34" i="20"/>
  <c r="W34" i="20"/>
  <c r="L29" i="48"/>
  <c r="L139" i="48"/>
  <c r="I123" i="48"/>
  <c r="W123" i="48"/>
  <c r="M124" i="48"/>
  <c r="H104" i="48" s="1"/>
  <c r="AA124" i="48"/>
  <c r="I138" i="48"/>
  <c r="W138" i="48"/>
  <c r="M139" i="48"/>
  <c r="AA139" i="48"/>
  <c r="E102" i="48"/>
  <c r="M146" i="48"/>
  <c r="L151" i="48"/>
  <c r="G80" i="48"/>
  <c r="G103" i="48" s="1"/>
  <c r="O152" i="48"/>
  <c r="T30" i="48"/>
  <c r="J138" i="48"/>
  <c r="X138" i="48"/>
  <c r="N139" i="48"/>
  <c r="AB139" i="48"/>
  <c r="E80" i="48"/>
  <c r="E103" i="48" s="1"/>
  <c r="N150" i="48"/>
  <c r="AB137" i="48"/>
  <c r="I149" i="48"/>
  <c r="J151" i="48"/>
  <c r="N152" i="48"/>
  <c r="Z139" i="48"/>
  <c r="F104" i="48"/>
  <c r="K123" i="48"/>
  <c r="Y123" i="48"/>
  <c r="O124" i="48"/>
  <c r="R21" i="48"/>
  <c r="G21" i="48"/>
  <c r="U137" i="48"/>
  <c r="K138" i="48"/>
  <c r="Y138" i="48"/>
  <c r="O139" i="48"/>
  <c r="AC139" i="48"/>
  <c r="AD139" i="48" s="1"/>
  <c r="AE139" i="48" s="1"/>
  <c r="AF139" i="48" s="1"/>
  <c r="AG139" i="48" s="1"/>
  <c r="AH139" i="48" s="1"/>
  <c r="AI139" i="48" s="1"/>
  <c r="AJ139" i="48" s="1"/>
  <c r="AK139" i="48" s="1"/>
  <c r="AL139" i="48" s="1"/>
  <c r="AM139" i="48" s="1"/>
  <c r="AN139" i="48" s="1"/>
  <c r="AN27" i="48" s="1"/>
  <c r="F80" i="48"/>
  <c r="F103" i="48" s="1"/>
  <c r="Q123" i="48"/>
  <c r="O146" i="48"/>
  <c r="P146" i="48"/>
  <c r="I151" i="48"/>
  <c r="M9" i="48"/>
  <c r="AA9" i="48"/>
  <c r="K124" i="48"/>
  <c r="AB21" i="48"/>
  <c r="S148" i="48"/>
  <c r="I35" i="48"/>
  <c r="I72" i="48" s="1"/>
  <c r="I79" i="48" s="1"/>
  <c r="V123" i="48"/>
  <c r="Z124" i="48"/>
  <c r="Z29" i="48"/>
  <c r="H36" i="48"/>
  <c r="H73" i="48" s="1"/>
  <c r="H80" i="48" s="1"/>
  <c r="X137" i="48"/>
  <c r="E101" i="48"/>
  <c r="P149" i="48"/>
  <c r="X127" i="48"/>
  <c r="X120" i="48" s="1"/>
  <c r="L148" i="48"/>
  <c r="C22" i="35"/>
  <c r="D24" i="55" s="1"/>
  <c r="D88" i="55" s="1"/>
  <c r="G37" i="48"/>
  <c r="G74" i="48" s="1"/>
  <c r="G81" i="48" s="1"/>
  <c r="G104" i="48" s="1"/>
  <c r="AB127" i="48"/>
  <c r="AB136" i="48" s="1"/>
  <c r="Q149" i="48"/>
  <c r="O151" i="48"/>
  <c r="H9" i="48"/>
  <c r="V9" i="48"/>
  <c r="M122" i="48"/>
  <c r="M138" i="48"/>
  <c r="AA138" i="48"/>
  <c r="Q139" i="48"/>
  <c r="M29" i="48"/>
  <c r="O132" i="48"/>
  <c r="P150" i="48" s="1"/>
  <c r="P151" i="48"/>
  <c r="K29" i="48"/>
  <c r="Y29" i="48"/>
  <c r="R123" i="48"/>
  <c r="H124" i="48"/>
  <c r="V124" i="48"/>
  <c r="N138" i="48"/>
  <c r="AB138" i="48"/>
  <c r="R139" i="48"/>
  <c r="O29" i="48"/>
  <c r="G146" i="48"/>
  <c r="K147" i="48"/>
  <c r="O148" i="48"/>
  <c r="Z137" i="48"/>
  <c r="O122" i="48"/>
  <c r="AA127" i="48"/>
  <c r="AA120" i="48" s="1"/>
  <c r="Q148" i="48"/>
  <c r="G149" i="48"/>
  <c r="S151" i="48"/>
  <c r="I152" i="48"/>
  <c r="V139" i="48"/>
  <c r="L9" i="48"/>
  <c r="L137" i="48"/>
  <c r="U123" i="48"/>
  <c r="Y124" i="48"/>
  <c r="M137" i="48"/>
  <c r="Q138" i="48"/>
  <c r="AA29" i="48"/>
  <c r="L124" i="48"/>
  <c r="J152" i="48"/>
  <c r="AC29" i="48"/>
  <c r="Q147" i="48"/>
  <c r="N146" i="48"/>
  <c r="U138" i="48"/>
  <c r="L146" i="48"/>
  <c r="Z9" i="48"/>
  <c r="L21" i="48"/>
  <c r="J123" i="48"/>
  <c r="X123" i="48"/>
  <c r="AB124" i="48"/>
  <c r="AA21" i="48"/>
  <c r="N61" i="48"/>
  <c r="G127" i="48"/>
  <c r="Q137" i="48"/>
  <c r="Q146" i="48"/>
  <c r="AB9" i="48"/>
  <c r="H123" i="48"/>
  <c r="O21" i="48"/>
  <c r="O28" i="48" s="1"/>
  <c r="AC21" i="48"/>
  <c r="C20" i="35" s="1"/>
  <c r="D22" i="55" s="1"/>
  <c r="D119" i="55" s="1"/>
  <c r="O127" i="48"/>
  <c r="O145" i="48" s="1"/>
  <c r="AC127" i="48"/>
  <c r="AC120" i="48" s="1"/>
  <c r="AD120" i="48" s="1"/>
  <c r="AE120" i="48" s="1"/>
  <c r="AF120" i="48" s="1"/>
  <c r="AG120" i="48" s="1"/>
  <c r="AH120" i="48" s="1"/>
  <c r="AI120" i="48" s="1"/>
  <c r="AJ120" i="48" s="1"/>
  <c r="AK120" i="48" s="1"/>
  <c r="AL120" i="48" s="1"/>
  <c r="AM120" i="48" s="1"/>
  <c r="AN120" i="48" s="1"/>
  <c r="I148" i="48"/>
  <c r="K151" i="48"/>
  <c r="F9" i="48"/>
  <c r="T9" i="48"/>
  <c r="M123" i="48"/>
  <c r="AA123" i="48"/>
  <c r="G34" i="48"/>
  <c r="G71" i="48" s="1"/>
  <c r="G78" i="48" s="1"/>
  <c r="G101" i="48" s="1"/>
  <c r="Q127" i="48"/>
  <c r="N149" i="48"/>
  <c r="P152" i="48"/>
  <c r="P34" i="20"/>
  <c r="V34" i="20"/>
  <c r="C4" i="35"/>
  <c r="D6" i="55" s="1"/>
  <c r="Y34" i="20"/>
  <c r="R35" i="20"/>
  <c r="L50" i="59"/>
  <c r="L26" i="59" s="1"/>
  <c r="L65" i="59" s="1"/>
  <c r="U53" i="59"/>
  <c r="V53" i="59"/>
  <c r="T53" i="59"/>
  <c r="W53" i="59"/>
  <c r="J53" i="59"/>
  <c r="X50" i="59"/>
  <c r="X26" i="59" s="1"/>
  <c r="K53" i="59"/>
  <c r="Y50" i="59"/>
  <c r="Y26" i="59" s="1"/>
  <c r="AA53" i="59"/>
  <c r="K50" i="59"/>
  <c r="K26" i="59" s="1"/>
  <c r="K65" i="59" s="1"/>
  <c r="X53" i="59"/>
  <c r="U50" i="59"/>
  <c r="U26" i="59" s="1"/>
  <c r="Y53" i="59"/>
  <c r="M53" i="59"/>
  <c r="E65" i="59"/>
  <c r="J82" i="55"/>
  <c r="J115" i="55"/>
  <c r="F114" i="55"/>
  <c r="F81" i="55"/>
  <c r="K115" i="55"/>
  <c r="K82" i="55"/>
  <c r="G114" i="55"/>
  <c r="G81" i="55"/>
  <c r="L82" i="55"/>
  <c r="L115" i="55"/>
  <c r="V50" i="59"/>
  <c r="V26" i="59" s="1"/>
  <c r="L53" i="59"/>
  <c r="Z53" i="59"/>
  <c r="W50" i="59"/>
  <c r="W26" i="59" s="1"/>
  <c r="H114" i="55"/>
  <c r="R53" i="59"/>
  <c r="T50" i="59"/>
  <c r="T26" i="59" s="1"/>
  <c r="J50" i="59"/>
  <c r="J26" i="59" s="1"/>
  <c r="AB53" i="59"/>
  <c r="N53" i="59"/>
  <c r="Q30" i="59"/>
  <c r="J5" i="50" s="1"/>
  <c r="Z50" i="59"/>
  <c r="Z26" i="59" s="1"/>
  <c r="AB50" i="59"/>
  <c r="AB26" i="59" s="1"/>
  <c r="AL90" i="80"/>
  <c r="AH91" i="80"/>
  <c r="AE91" i="80"/>
  <c r="AI91" i="80"/>
  <c r="AK91" i="80"/>
  <c r="AD91" i="80"/>
  <c r="AJ91" i="80"/>
  <c r="AF91" i="80"/>
  <c r="V16" i="74"/>
  <c r="W16" i="74" s="1"/>
  <c r="X16" i="74" s="1"/>
  <c r="Y16" i="74" s="1"/>
  <c r="Z16" i="74" s="1"/>
  <c r="AA16" i="74" s="1"/>
  <c r="AB16" i="74" s="1"/>
  <c r="AC16" i="74" s="1"/>
  <c r="V12" i="74"/>
  <c r="V17" i="74"/>
  <c r="W17" i="74" s="1"/>
  <c r="X17" i="74" s="1"/>
  <c r="Y17" i="74" s="1"/>
  <c r="Z17" i="74" s="1"/>
  <c r="AA17" i="74" s="1"/>
  <c r="AB17" i="74" s="1"/>
  <c r="AC17" i="74" s="1"/>
  <c r="J80" i="55"/>
  <c r="J113" i="55"/>
  <c r="D107" i="55"/>
  <c r="D74" i="55"/>
  <c r="F79" i="55"/>
  <c r="F112" i="55"/>
  <c r="E79" i="55"/>
  <c r="E112" i="55"/>
  <c r="AA14" i="75"/>
  <c r="AA15" i="59"/>
  <c r="AA14" i="59" s="1"/>
  <c r="AA64" i="59" s="1"/>
  <c r="K108" i="55"/>
  <c r="K75" i="55"/>
  <c r="H82" i="55"/>
  <c r="H115" i="55"/>
  <c r="I122" i="55"/>
  <c r="I89" i="55"/>
  <c r="K80" i="55"/>
  <c r="K113" i="55"/>
  <c r="U14" i="59"/>
  <c r="U64" i="59" s="1"/>
  <c r="U14" i="75"/>
  <c r="V21" i="25"/>
  <c r="E14" i="59"/>
  <c r="V77" i="70"/>
  <c r="W77" i="70"/>
  <c r="V13" i="78"/>
  <c r="V14" i="78" s="1"/>
  <c r="O10" i="50" s="1"/>
  <c r="AJ77" i="70"/>
  <c r="AK46" i="70"/>
  <c r="AK45" i="70" s="1"/>
  <c r="AJ46" i="70"/>
  <c r="AJ45" i="70" s="1"/>
  <c r="AK77" i="70"/>
  <c r="AJ13" i="78"/>
  <c r="AJ14" i="78" s="1"/>
  <c r="J24" i="35" s="1"/>
  <c r="AH79" i="70"/>
  <c r="AI49" i="70"/>
  <c r="AH49" i="70"/>
  <c r="N18" i="75"/>
  <c r="N18" i="59"/>
  <c r="D129" i="55"/>
  <c r="D97" i="55"/>
  <c r="T19" i="74"/>
  <c r="L13" i="30"/>
  <c r="L15" i="30"/>
  <c r="M24" i="38"/>
  <c r="S25" i="38"/>
  <c r="V45" i="75"/>
  <c r="V37" i="59"/>
  <c r="I67" i="38"/>
  <c r="O48" i="38"/>
  <c r="M56" i="38"/>
  <c r="J75" i="55"/>
  <c r="J81" i="55"/>
  <c r="F129" i="55"/>
  <c r="F97" i="55"/>
  <c r="L81" i="55"/>
  <c r="AA14" i="25"/>
  <c r="AO14" i="26"/>
  <c r="I14" i="75"/>
  <c r="I14" i="59"/>
  <c r="I64" i="59" s="1"/>
  <c r="E126" i="55"/>
  <c r="E94" i="55"/>
  <c r="I79" i="55"/>
  <c r="I82" i="55"/>
  <c r="K102" i="55"/>
  <c r="G125" i="55"/>
  <c r="S20" i="74"/>
  <c r="S19" i="74" s="1"/>
  <c r="J15" i="30"/>
  <c r="J13" i="30"/>
  <c r="AE17" i="30"/>
  <c r="AD13" i="30"/>
  <c r="AD15" i="30"/>
  <c r="P40" i="38"/>
  <c r="T41" i="38"/>
  <c r="J73" i="55"/>
  <c r="G94" i="55"/>
  <c r="G112" i="55"/>
  <c r="M21" i="25"/>
  <c r="M20" i="25"/>
  <c r="AJ17" i="25"/>
  <c r="AK17" i="25" s="1"/>
  <c r="AL17" i="25" s="1"/>
  <c r="AM17" i="25" s="1"/>
  <c r="AN17" i="25" s="1"/>
  <c r="AD56" i="20"/>
  <c r="D3" i="35"/>
  <c r="E5" i="55" s="1"/>
  <c r="K114" i="55"/>
  <c r="K81" i="55"/>
  <c r="L94" i="55"/>
  <c r="G106" i="55"/>
  <c r="N21" i="25"/>
  <c r="AB14" i="75"/>
  <c r="AB15" i="59"/>
  <c r="AB14" i="59" s="1"/>
  <c r="K73" i="26"/>
  <c r="AO34" i="26"/>
  <c r="AP19" i="26" s="1"/>
  <c r="E3" i="35"/>
  <c r="F5" i="55" s="1"/>
  <c r="AE56" i="20"/>
  <c r="G122" i="55"/>
  <c r="G89" i="55"/>
  <c r="D94" i="55"/>
  <c r="L108" i="55"/>
  <c r="D112" i="55"/>
  <c r="I106" i="55"/>
  <c r="K112" i="55"/>
  <c r="D120" i="55"/>
  <c r="AG91" i="80"/>
  <c r="V15" i="74"/>
  <c r="W15" i="74" s="1"/>
  <c r="X15" i="74" s="1"/>
  <c r="Y15" i="74" s="1"/>
  <c r="Z15" i="74" s="1"/>
  <c r="AA15" i="74" s="1"/>
  <c r="AB15" i="74" s="1"/>
  <c r="AC15" i="74" s="1"/>
  <c r="G108" i="55"/>
  <c r="G75" i="55"/>
  <c r="G14" i="75"/>
  <c r="G14" i="59"/>
  <c r="G64" i="59" s="1"/>
  <c r="I126" i="55"/>
  <c r="I94" i="55"/>
  <c r="G80" i="55"/>
  <c r="F113" i="55"/>
  <c r="F80" i="55"/>
  <c r="P20" i="25"/>
  <c r="AD11" i="25"/>
  <c r="AD20" i="25" s="1"/>
  <c r="AD15" i="25"/>
  <c r="AD14" i="25" s="1"/>
  <c r="Z14" i="75"/>
  <c r="Z15" i="59"/>
  <c r="Z14" i="59" s="1"/>
  <c r="K81" i="26"/>
  <c r="I108" i="55"/>
  <c r="I75" i="55"/>
  <c r="K21" i="25"/>
  <c r="K20" i="25"/>
  <c r="D125" i="55"/>
  <c r="D93" i="55"/>
  <c r="H80" i="55"/>
  <c r="F89" i="55"/>
  <c r="G82" i="55"/>
  <c r="G115" i="55"/>
  <c r="AE13" i="25"/>
  <c r="V56" i="20"/>
  <c r="O9" i="50"/>
  <c r="M12" i="30"/>
  <c r="M46" i="30"/>
  <c r="I101" i="75"/>
  <c r="O29" i="30"/>
  <c r="O25" i="30"/>
  <c r="K94" i="55"/>
  <c r="K126" i="55"/>
  <c r="E20" i="25"/>
  <c r="E14" i="75" s="1"/>
  <c r="S20" i="25"/>
  <c r="S14" i="59" s="1"/>
  <c r="P13" i="74"/>
  <c r="P20" i="74" s="1"/>
  <c r="P19" i="74" s="1"/>
  <c r="AO30" i="26"/>
  <c r="D14" i="75"/>
  <c r="F14" i="75"/>
  <c r="F14" i="59"/>
  <c r="F64" i="59" s="1"/>
  <c r="R13" i="74"/>
  <c r="R20" i="74" s="1"/>
  <c r="R19" i="74" s="1"/>
  <c r="Q34" i="20"/>
  <c r="Q35" i="20"/>
  <c r="AD16" i="70"/>
  <c r="AD25" i="70" s="1"/>
  <c r="C4" i="71" s="1"/>
  <c r="AD51" i="70"/>
  <c r="K73" i="38"/>
  <c r="K71" i="38"/>
  <c r="R18" i="75"/>
  <c r="Q18" i="75"/>
  <c r="R18" i="59"/>
  <c r="Q18" i="59"/>
  <c r="K73" i="55"/>
  <c r="D80" i="55"/>
  <c r="I81" i="55"/>
  <c r="F128" i="55"/>
  <c r="J21" i="25"/>
  <c r="R14" i="25"/>
  <c r="R21" i="25" s="1"/>
  <c r="Q19" i="74"/>
  <c r="L11" i="26"/>
  <c r="L20" i="26" s="1"/>
  <c r="L78" i="26" s="1"/>
  <c r="L73" i="26" s="1"/>
  <c r="Z11" i="26"/>
  <c r="J23" i="26"/>
  <c r="AO23" i="26" s="1"/>
  <c r="AO24" i="26"/>
  <c r="AP12" i="26" s="1"/>
  <c r="L14" i="75"/>
  <c r="L14" i="59"/>
  <c r="T14" i="25"/>
  <c r="T21" i="25" s="1"/>
  <c r="AH16" i="25"/>
  <c r="AI16" i="25" s="1"/>
  <c r="AJ16" i="25" s="1"/>
  <c r="AK16" i="25" s="1"/>
  <c r="AL16" i="25" s="1"/>
  <c r="AM16" i="25" s="1"/>
  <c r="AN16" i="25" s="1"/>
  <c r="L89" i="55"/>
  <c r="H94" i="55"/>
  <c r="J126" i="55"/>
  <c r="AC91" i="80"/>
  <c r="O21" i="25"/>
  <c r="O13" i="74"/>
  <c r="O20" i="74" s="1"/>
  <c r="O19" i="74" s="1"/>
  <c r="C56" i="26"/>
  <c r="C51" i="26" s="1"/>
  <c r="C47" i="26"/>
  <c r="Z45" i="75"/>
  <c r="Z37" i="59"/>
  <c r="J17" i="75"/>
  <c r="J17" i="59"/>
  <c r="G134" i="75"/>
  <c r="X17" i="75"/>
  <c r="H22" i="33"/>
  <c r="G131" i="75"/>
  <c r="X17" i="59"/>
  <c r="AE13" i="33"/>
  <c r="AD13" i="33"/>
  <c r="AD10" i="33" s="1"/>
  <c r="AC13" i="33"/>
  <c r="AB13" i="33"/>
  <c r="T34" i="75"/>
  <c r="T24" i="75"/>
  <c r="P21" i="25"/>
  <c r="X14" i="25"/>
  <c r="AC14" i="75"/>
  <c r="AC15" i="59"/>
  <c r="AC14" i="59" s="1"/>
  <c r="L13" i="74"/>
  <c r="L20" i="74" s="1"/>
  <c r="L19" i="74" s="1"/>
  <c r="AO32" i="26"/>
  <c r="M16" i="26"/>
  <c r="E45" i="26"/>
  <c r="M13" i="30"/>
  <c r="K17" i="75"/>
  <c r="K17" i="59"/>
  <c r="AH13" i="33"/>
  <c r="AG13" i="33"/>
  <c r="AF13" i="33"/>
  <c r="K97" i="55"/>
  <c r="Q20" i="25"/>
  <c r="Q14" i="75" s="1"/>
  <c r="M13" i="74"/>
  <c r="M20" i="74" s="1"/>
  <c r="M19" i="74" s="1"/>
  <c r="N16" i="26"/>
  <c r="N77" i="26" s="1"/>
  <c r="D131" i="75"/>
  <c r="D132" i="75" s="1"/>
  <c r="D134" i="75"/>
  <c r="L17" i="75"/>
  <c r="E25" i="33"/>
  <c r="E22" i="33"/>
  <c r="L17" i="59"/>
  <c r="Z17" i="59"/>
  <c r="Z17" i="75"/>
  <c r="AI13" i="33"/>
  <c r="D20" i="25"/>
  <c r="D14" i="59" s="1"/>
  <c r="K20" i="74"/>
  <c r="K19" i="74" s="1"/>
  <c r="N13" i="74"/>
  <c r="N20" i="74" s="1"/>
  <c r="N19" i="74" s="1"/>
  <c r="AO31" i="26"/>
  <c r="O16" i="26"/>
  <c r="O77" i="26" s="1"/>
  <c r="F37" i="59"/>
  <c r="F38" i="59" s="1"/>
  <c r="F45" i="75"/>
  <c r="F46" i="75" s="1"/>
  <c r="H14" i="75"/>
  <c r="H14" i="59"/>
  <c r="H64" i="59" s="1"/>
  <c r="T94" i="26"/>
  <c r="AC13" i="30"/>
  <c r="AC12" i="30" s="1"/>
  <c r="AD12" i="30" s="1"/>
  <c r="AB13" i="30"/>
  <c r="AB12" i="30" s="1"/>
  <c r="R37" i="59"/>
  <c r="R38" i="59" s="1"/>
  <c r="R45" i="75"/>
  <c r="R46" i="75" s="1"/>
  <c r="M17" i="75"/>
  <c r="M17" i="59"/>
  <c r="AM13" i="33"/>
  <c r="AL13" i="33"/>
  <c r="AK13" i="33"/>
  <c r="V34" i="75"/>
  <c r="V24" i="75"/>
  <c r="W85" i="75"/>
  <c r="S45" i="75"/>
  <c r="S46" i="75" s="1"/>
  <c r="S37" i="59"/>
  <c r="S38" i="59" s="1"/>
  <c r="G20" i="74"/>
  <c r="G19" i="74" s="1"/>
  <c r="U20" i="74"/>
  <c r="V20" i="74" s="1"/>
  <c r="W20" i="74" s="1"/>
  <c r="X20" i="74" s="1"/>
  <c r="Y20" i="74" s="1"/>
  <c r="Z20" i="74" s="1"/>
  <c r="AA20" i="74" s="1"/>
  <c r="AB20" i="74" s="1"/>
  <c r="AC20" i="74" s="1"/>
  <c r="D44" i="26"/>
  <c r="E44" i="26" s="1"/>
  <c r="N15" i="30"/>
  <c r="AC37" i="59"/>
  <c r="AC45" i="75"/>
  <c r="O17" i="75"/>
  <c r="O17" i="59"/>
  <c r="H20" i="74"/>
  <c r="H19" i="74" s="1"/>
  <c r="AQ13" i="26"/>
  <c r="D45" i="26"/>
  <c r="W94" i="26"/>
  <c r="X35" i="20"/>
  <c r="X34" i="20"/>
  <c r="D46" i="26"/>
  <c r="E46" i="26" s="1"/>
  <c r="J75" i="26"/>
  <c r="J73" i="26" s="1"/>
  <c r="J57" i="20" s="1"/>
  <c r="J58" i="20" s="1"/>
  <c r="J36" i="20" s="1"/>
  <c r="C62" i="26"/>
  <c r="R94" i="26"/>
  <c r="X94" i="26"/>
  <c r="I58" i="20"/>
  <c r="I20" i="20" s="1"/>
  <c r="H46" i="30"/>
  <c r="H12" i="30"/>
  <c r="AD51" i="30"/>
  <c r="H13" i="30"/>
  <c r="H15" i="30"/>
  <c r="Q45" i="75"/>
  <c r="Q46" i="75" s="1"/>
  <c r="Q37" i="59"/>
  <c r="Q38" i="59" s="1"/>
  <c r="J20" i="74"/>
  <c r="J19" i="74" s="1"/>
  <c r="S94" i="26"/>
  <c r="Y94" i="26"/>
  <c r="Z35" i="20"/>
  <c r="Z34" i="20"/>
  <c r="I13" i="30"/>
  <c r="I12" i="30" s="1"/>
  <c r="I15" i="30"/>
  <c r="X45" i="75"/>
  <c r="X37" i="59"/>
  <c r="Q21" i="48"/>
  <c r="Q28" i="48" s="1"/>
  <c r="Q29" i="48"/>
  <c r="J46" i="30"/>
  <c r="J12" i="30"/>
  <c r="AB15" i="30"/>
  <c r="G38" i="75"/>
  <c r="G99" i="75"/>
  <c r="M47" i="78"/>
  <c r="N47" i="78" s="1"/>
  <c r="K52" i="78"/>
  <c r="N35" i="20"/>
  <c r="O34" i="20"/>
  <c r="AB35" i="20"/>
  <c r="AC34" i="20"/>
  <c r="K46" i="30"/>
  <c r="K12" i="30"/>
  <c r="L47" i="78"/>
  <c r="M29" i="26"/>
  <c r="AO29" i="26" s="1"/>
  <c r="H56" i="20"/>
  <c r="H58" i="20" s="1"/>
  <c r="H20" i="20" s="1"/>
  <c r="AA94" i="26"/>
  <c r="AN94" i="26"/>
  <c r="AN56" i="20" s="1"/>
  <c r="Z94" i="26"/>
  <c r="AM94" i="26"/>
  <c r="AM56" i="20" s="1"/>
  <c r="AL94" i="26"/>
  <c r="AL56" i="20" s="1"/>
  <c r="AK94" i="26"/>
  <c r="AI94" i="26"/>
  <c r="AH94" i="26"/>
  <c r="AF94" i="26"/>
  <c r="AC94" i="26"/>
  <c r="U45" i="75"/>
  <c r="U37" i="59"/>
  <c r="N17" i="75"/>
  <c r="N17" i="59"/>
  <c r="AB17" i="59"/>
  <c r="AB17" i="75"/>
  <c r="M34" i="20"/>
  <c r="AA34" i="20"/>
  <c r="H35" i="20"/>
  <c r="I45" i="75"/>
  <c r="I46" i="75" s="1"/>
  <c r="I37" i="59"/>
  <c r="I38" i="59" s="1"/>
  <c r="T13" i="33"/>
  <c r="Q13" i="33"/>
  <c r="P13" i="33"/>
  <c r="H99" i="75"/>
  <c r="J45" i="75"/>
  <c r="J46" i="75" s="1"/>
  <c r="J37" i="59"/>
  <c r="J38" i="59" s="1"/>
  <c r="AA45" i="75"/>
  <c r="AA37" i="59"/>
  <c r="D17" i="75"/>
  <c r="D17" i="59"/>
  <c r="C25" i="33"/>
  <c r="R17" i="75"/>
  <c r="R17" i="59"/>
  <c r="F22" i="33"/>
  <c r="U13" i="33"/>
  <c r="E45" i="75"/>
  <c r="E46" i="75" s="1"/>
  <c r="V13" i="33"/>
  <c r="W37" i="59"/>
  <c r="K87" i="75"/>
  <c r="K85" i="75"/>
  <c r="F30" i="59"/>
  <c r="F65" i="59"/>
  <c r="L34" i="75"/>
  <c r="L99" i="75" s="1"/>
  <c r="L24" i="75"/>
  <c r="L12" i="30"/>
  <c r="G30" i="59"/>
  <c r="G65" i="59"/>
  <c r="M24" i="75"/>
  <c r="M34" i="75"/>
  <c r="N136" i="48"/>
  <c r="N21" i="48"/>
  <c r="R34" i="20"/>
  <c r="N45" i="75"/>
  <c r="N46" i="75" s="1"/>
  <c r="N37" i="59"/>
  <c r="N38" i="59" s="1"/>
  <c r="E38" i="59"/>
  <c r="G101" i="75"/>
  <c r="G39" i="75" s="1"/>
  <c r="I122" i="48"/>
  <c r="I30" i="48"/>
  <c r="I9" i="48"/>
  <c r="W9" i="48"/>
  <c r="W30" i="48"/>
  <c r="P45" i="75"/>
  <c r="P46" i="75" s="1"/>
  <c r="P37" i="59"/>
  <c r="P38" i="59" s="1"/>
  <c r="AA13" i="33"/>
  <c r="Y13" i="33"/>
  <c r="X13" i="33"/>
  <c r="AB37" i="59"/>
  <c r="H101" i="75"/>
  <c r="E131" i="75"/>
  <c r="E132" i="75" s="1"/>
  <c r="E134" i="75"/>
  <c r="P17" i="75"/>
  <c r="E30" i="59"/>
  <c r="M50" i="59"/>
  <c r="M26" i="59" s="1"/>
  <c r="AA50" i="59"/>
  <c r="AA26" i="59" s="1"/>
  <c r="H65" i="59"/>
  <c r="I50" i="59"/>
  <c r="I26" i="59" s="1"/>
  <c r="I65" i="59" s="1"/>
  <c r="F67" i="59"/>
  <c r="F31" i="59" s="1"/>
  <c r="O53" i="59"/>
  <c r="O50" i="59"/>
  <c r="O26" i="59" s="1"/>
  <c r="AC53" i="59"/>
  <c r="AC50" i="59"/>
  <c r="AC17" i="59"/>
  <c r="J65" i="59"/>
  <c r="P53" i="59"/>
  <c r="P50" i="59"/>
  <c r="P26" i="59" s="1"/>
  <c r="F38" i="75"/>
  <c r="X104" i="75"/>
  <c r="X106" i="75" s="1"/>
  <c r="X105" i="75" s="1"/>
  <c r="G130" i="75"/>
  <c r="G132" i="75" s="1"/>
  <c r="H74" i="48"/>
  <c r="H81" i="48" s="1"/>
  <c r="F134" i="75"/>
  <c r="T17" i="75"/>
  <c r="Q53" i="59"/>
  <c r="Q50" i="59"/>
  <c r="Q26" i="59" s="1"/>
  <c r="F131" i="75"/>
  <c r="F132" i="75" s="1"/>
  <c r="G22" i="33"/>
  <c r="D25" i="33"/>
  <c r="N50" i="59"/>
  <c r="N26" i="59" s="1"/>
  <c r="D65" i="59"/>
  <c r="N95" i="59"/>
  <c r="M95" i="59"/>
  <c r="L95" i="59"/>
  <c r="I34" i="75"/>
  <c r="S53" i="59"/>
  <c r="S50" i="59"/>
  <c r="S26" i="59" s="1"/>
  <c r="G30" i="48"/>
  <c r="G9" i="48"/>
  <c r="U30" i="48"/>
  <c r="U9" i="48"/>
  <c r="U122" i="48"/>
  <c r="E17" i="59"/>
  <c r="S17" i="59"/>
  <c r="G35" i="48"/>
  <c r="D133" i="75"/>
  <c r="D137" i="75" s="1"/>
  <c r="K122" i="48"/>
  <c r="K9" i="48"/>
  <c r="Y122" i="48"/>
  <c r="Y30" i="48"/>
  <c r="AE138" i="48"/>
  <c r="AD26" i="48"/>
  <c r="AD71" i="59"/>
  <c r="AL30" i="80" s="1"/>
  <c r="I99" i="75"/>
  <c r="G151" i="48"/>
  <c r="K152" i="48"/>
  <c r="J99" i="75"/>
  <c r="J28" i="75"/>
  <c r="L39" i="78"/>
  <c r="J29" i="48"/>
  <c r="X29" i="48"/>
  <c r="X9" i="48"/>
  <c r="Q124" i="48"/>
  <c r="I37" i="48"/>
  <c r="X122" i="48"/>
  <c r="H151" i="48"/>
  <c r="E133" i="75"/>
  <c r="E137" i="75" s="1"/>
  <c r="U85" i="75"/>
  <c r="S85" i="75"/>
  <c r="R85" i="75"/>
  <c r="Q85" i="75"/>
  <c r="N85" i="75"/>
  <c r="J9" i="48"/>
  <c r="R50" i="59"/>
  <c r="R26" i="59" s="1"/>
  <c r="L28" i="75"/>
  <c r="J30" i="48"/>
  <c r="D101" i="75"/>
  <c r="D39" i="75" s="1"/>
  <c r="J21" i="48"/>
  <c r="K30" i="48"/>
  <c r="M30" i="48"/>
  <c r="F101" i="75"/>
  <c r="F39" i="75" s="1"/>
  <c r="Y9" i="48"/>
  <c r="AA30" i="48"/>
  <c r="AA137" i="48"/>
  <c r="N29" i="48"/>
  <c r="N120" i="48"/>
  <c r="H101" i="48" s="1"/>
  <c r="I101" i="48" s="1"/>
  <c r="J101" i="48" s="1"/>
  <c r="K101" i="48" s="1"/>
  <c r="L101" i="48" s="1"/>
  <c r="AB29" i="48"/>
  <c r="L122" i="48"/>
  <c r="L30" i="48"/>
  <c r="Z122" i="48"/>
  <c r="Z30" i="48"/>
  <c r="AC137" i="48"/>
  <c r="AD137" i="48" s="1"/>
  <c r="Q150" i="48"/>
  <c r="AA122" i="48"/>
  <c r="P137" i="48"/>
  <c r="P30" i="48"/>
  <c r="E104" i="48"/>
  <c r="U127" i="48"/>
  <c r="U120" i="48" s="1"/>
  <c r="R146" i="48"/>
  <c r="R132" i="48"/>
  <c r="R150" i="48" s="1"/>
  <c r="I147" i="48"/>
  <c r="H147" i="48"/>
  <c r="G132" i="48"/>
  <c r="AM18" i="70"/>
  <c r="AM26" i="70" s="1"/>
  <c r="AM52" i="70"/>
  <c r="AM20" i="70" s="1"/>
  <c r="AM27" i="70" s="1"/>
  <c r="P85" i="75"/>
  <c r="P9" i="48"/>
  <c r="N122" i="48"/>
  <c r="H102" i="48" s="1"/>
  <c r="I102" i="48" s="1"/>
  <c r="J102" i="48" s="1"/>
  <c r="K102" i="48" s="1"/>
  <c r="L102" i="48" s="1"/>
  <c r="N30" i="48"/>
  <c r="AB122" i="48"/>
  <c r="AB30" i="48"/>
  <c r="Q151" i="48"/>
  <c r="L41" i="78"/>
  <c r="N9" i="48"/>
  <c r="AC122" i="48"/>
  <c r="AD122" i="48" s="1"/>
  <c r="AE122" i="48" s="1"/>
  <c r="AF122" i="48" s="1"/>
  <c r="AG122" i="48" s="1"/>
  <c r="AH122" i="48" s="1"/>
  <c r="AI122" i="48" s="1"/>
  <c r="AJ122" i="48" s="1"/>
  <c r="AK122" i="48" s="1"/>
  <c r="AL122" i="48" s="1"/>
  <c r="AM122" i="48" s="1"/>
  <c r="AN122" i="48" s="1"/>
  <c r="P21" i="48"/>
  <c r="G136" i="48"/>
  <c r="F132" i="48"/>
  <c r="F137" i="48" s="1"/>
  <c r="F127" i="48"/>
  <c r="G145" i="48" s="1"/>
  <c r="T132" i="48"/>
  <c r="T122" i="48" s="1"/>
  <c r="T127" i="48"/>
  <c r="T136" i="48" s="1"/>
  <c r="J127" i="48"/>
  <c r="J120" i="48" s="1"/>
  <c r="J147" i="48"/>
  <c r="R9" i="48"/>
  <c r="R120" i="48"/>
  <c r="P122" i="48"/>
  <c r="S138" i="48"/>
  <c r="L150" i="48"/>
  <c r="M45" i="78"/>
  <c r="N45" i="78" s="1"/>
  <c r="L45" i="78"/>
  <c r="L52" i="78" s="1"/>
  <c r="S9" i="48"/>
  <c r="S28" i="48" s="1"/>
  <c r="S29" i="48"/>
  <c r="Q30" i="48"/>
  <c r="I29" i="48"/>
  <c r="I21" i="48"/>
  <c r="W29" i="48"/>
  <c r="W21" i="48"/>
  <c r="F21" i="48"/>
  <c r="T21" i="48"/>
  <c r="T138" i="48"/>
  <c r="H132" i="48"/>
  <c r="H137" i="48" s="1"/>
  <c r="H146" i="48"/>
  <c r="H127" i="48"/>
  <c r="V132" i="48"/>
  <c r="V127" i="48"/>
  <c r="V120" i="48" s="1"/>
  <c r="L147" i="48"/>
  <c r="L127" i="48"/>
  <c r="Z127" i="48"/>
  <c r="Z120" i="48" s="1"/>
  <c r="P148" i="48"/>
  <c r="M150" i="48"/>
  <c r="I36" i="48"/>
  <c r="G138" i="48"/>
  <c r="I146" i="48"/>
  <c r="I127" i="48"/>
  <c r="I136" i="48" s="1"/>
  <c r="W132" i="48"/>
  <c r="W137" i="48" s="1"/>
  <c r="W127" i="48"/>
  <c r="W136" i="48" s="1"/>
  <c r="M127" i="48"/>
  <c r="M147" i="48"/>
  <c r="U29" i="48"/>
  <c r="K21" i="48"/>
  <c r="Y21" i="48"/>
  <c r="H138" i="48"/>
  <c r="H21" i="48"/>
  <c r="V138" i="48"/>
  <c r="V21" i="48"/>
  <c r="N147" i="48"/>
  <c r="R148" i="48"/>
  <c r="X21" i="48"/>
  <c r="Z21" i="48"/>
  <c r="Z136" i="48"/>
  <c r="I137" i="48"/>
  <c r="N123" i="48"/>
  <c r="H103" i="48" s="1"/>
  <c r="K146" i="48"/>
  <c r="K127" i="48"/>
  <c r="K136" i="48" s="1"/>
  <c r="J146" i="48"/>
  <c r="J132" i="48"/>
  <c r="H149" i="48"/>
  <c r="L152" i="48"/>
  <c r="J15" i="40"/>
  <c r="K15" i="40"/>
  <c r="G5" i="21"/>
  <c r="I5" i="21"/>
  <c r="H5" i="21"/>
  <c r="F5" i="21"/>
  <c r="H34" i="48"/>
  <c r="AC124" i="48"/>
  <c r="AD124" i="48" s="1"/>
  <c r="AE124" i="48" s="1"/>
  <c r="AF124" i="48" s="1"/>
  <c r="AG124" i="48" s="1"/>
  <c r="AH124" i="48" s="1"/>
  <c r="AI124" i="48" s="1"/>
  <c r="AJ124" i="48" s="1"/>
  <c r="AK124" i="48" s="1"/>
  <c r="AL124" i="48" s="1"/>
  <c r="AM124" i="48" s="1"/>
  <c r="AN124" i="48" s="1"/>
  <c r="M152" i="48"/>
  <c r="H29" i="48"/>
  <c r="V29" i="48"/>
  <c r="O30" i="48"/>
  <c r="AC30" i="48"/>
  <c r="G148" i="48"/>
  <c r="P16" i="40"/>
  <c r="S15" i="40"/>
  <c r="S16" i="40"/>
  <c r="M48" i="21"/>
  <c r="L48" i="21"/>
  <c r="H8" i="21"/>
  <c r="W8" i="21" s="1"/>
  <c r="K48" i="21"/>
  <c r="J48" i="21"/>
  <c r="I48" i="21"/>
  <c r="V48" i="21"/>
  <c r="H48" i="21"/>
  <c r="U48" i="21"/>
  <c r="G48" i="21"/>
  <c r="G47" i="21" s="1"/>
  <c r="T48" i="21"/>
  <c r="F48" i="21"/>
  <c r="F47" i="21" s="1"/>
  <c r="P83" i="26" s="1"/>
  <c r="S48" i="21"/>
  <c r="E48" i="21"/>
  <c r="E47" i="21" s="1"/>
  <c r="O83" i="26" s="1"/>
  <c r="R48" i="21"/>
  <c r="D48" i="21"/>
  <c r="D47" i="21" s="1"/>
  <c r="N83" i="26" s="1"/>
  <c r="Q48" i="21"/>
  <c r="P48" i="21"/>
  <c r="O48" i="21"/>
  <c r="N48" i="21"/>
  <c r="P138" i="48"/>
  <c r="I139" i="48"/>
  <c r="W139" i="48"/>
  <c r="J149" i="48"/>
  <c r="AK18" i="70"/>
  <c r="AK26" i="70" s="1"/>
  <c r="J5" i="71" s="1"/>
  <c r="AK52" i="70"/>
  <c r="N48" i="38"/>
  <c r="L56" i="38"/>
  <c r="N15" i="40"/>
  <c r="Q16" i="40"/>
  <c r="J139" i="48"/>
  <c r="X139" i="48"/>
  <c r="Y127" i="48"/>
  <c r="Y120" i="48" s="1"/>
  <c r="S147" i="48"/>
  <c r="M149" i="48"/>
  <c r="Q152" i="48"/>
  <c r="O147" i="48"/>
  <c r="R152" i="48"/>
  <c r="K137" i="48"/>
  <c r="Y137" i="48"/>
  <c r="R138" i="48"/>
  <c r="K139" i="48"/>
  <c r="Y139" i="48"/>
  <c r="R30" i="48"/>
  <c r="T120" i="48"/>
  <c r="P48" i="38"/>
  <c r="J67" i="38"/>
  <c r="N56" i="38"/>
  <c r="P15" i="40"/>
  <c r="M21" i="48"/>
  <c r="G147" i="48"/>
  <c r="T55" i="70"/>
  <c r="U55" i="70" s="1"/>
  <c r="V55" i="70" s="1"/>
  <c r="W55" i="70" s="1"/>
  <c r="X55" i="70" s="1"/>
  <c r="Y55" i="70" s="1"/>
  <c r="Z55" i="70" s="1"/>
  <c r="AA55" i="70" s="1"/>
  <c r="AB55" i="70" s="1"/>
  <c r="AC55" i="70" s="1"/>
  <c r="AD55" i="70" s="1"/>
  <c r="AE55" i="70" s="1"/>
  <c r="AF55" i="70" s="1"/>
  <c r="AG55" i="70" s="1"/>
  <c r="AH55" i="70" s="1"/>
  <c r="AI55" i="70" s="1"/>
  <c r="AJ55" i="70" s="1"/>
  <c r="AK55" i="70" s="1"/>
  <c r="AL55" i="70" s="1"/>
  <c r="AM55" i="70" s="1"/>
  <c r="AN55" i="70" s="1"/>
  <c r="Q15" i="40"/>
  <c r="AH77" i="70"/>
  <c r="AI46" i="70"/>
  <c r="AI45" i="70" s="1"/>
  <c r="AN78" i="70"/>
  <c r="AN48" i="70"/>
  <c r="AN14" i="70" s="1"/>
  <c r="AN24" i="70" s="1"/>
  <c r="AF79" i="70"/>
  <c r="AF49" i="70"/>
  <c r="L15" i="38"/>
  <c r="S16" i="38"/>
  <c r="S146" i="48"/>
  <c r="S132" i="48"/>
  <c r="M148" i="48"/>
  <c r="T14" i="70"/>
  <c r="T24" i="70" s="1"/>
  <c r="T56" i="70"/>
  <c r="U77" i="70"/>
  <c r="AI77" i="70"/>
  <c r="AA78" i="70"/>
  <c r="T57" i="70"/>
  <c r="U57" i="70" s="1"/>
  <c r="V57" i="70" s="1"/>
  <c r="W57" i="70" s="1"/>
  <c r="X57" i="70" s="1"/>
  <c r="Y57" i="70" s="1"/>
  <c r="Z57" i="70" s="1"/>
  <c r="AA57" i="70" s="1"/>
  <c r="AB57" i="70" s="1"/>
  <c r="AC57" i="70" s="1"/>
  <c r="AD57" i="70" s="1"/>
  <c r="AE57" i="70" s="1"/>
  <c r="AF57" i="70" s="1"/>
  <c r="AG79" i="70"/>
  <c r="I12" i="21"/>
  <c r="H12" i="21"/>
  <c r="W12" i="21" s="1"/>
  <c r="N19" i="21"/>
  <c r="T4" i="21"/>
  <c r="AD25" i="59" s="1"/>
  <c r="AD30" i="59" s="1"/>
  <c r="S4" i="21"/>
  <c r="E4" i="21"/>
  <c r="E11" i="21"/>
  <c r="E9" i="21"/>
  <c r="P39" i="38"/>
  <c r="L67" i="38"/>
  <c r="L70" i="38" s="1"/>
  <c r="L15" i="40"/>
  <c r="R14" i="40"/>
  <c r="R15" i="40" s="1"/>
  <c r="I13" i="21"/>
  <c r="I14" i="21" s="1"/>
  <c r="H13" i="21"/>
  <c r="H14" i="21" s="1"/>
  <c r="G13" i="21"/>
  <c r="G14" i="21" s="1"/>
  <c r="F13" i="21"/>
  <c r="P5" i="21"/>
  <c r="O5" i="21"/>
  <c r="L16" i="5"/>
  <c r="R49" i="21"/>
  <c r="V16" i="6"/>
  <c r="C77" i="21"/>
  <c r="U10" i="21"/>
  <c r="M23" i="38"/>
  <c r="Q39" i="38"/>
  <c r="R39" i="38" s="1"/>
  <c r="J19" i="21"/>
  <c r="T37" i="30" s="1"/>
  <c r="T6" i="21"/>
  <c r="AD45" i="30" s="1"/>
  <c r="D7" i="35" s="1"/>
  <c r="E9" i="55" s="1"/>
  <c r="S6" i="21"/>
  <c r="AC45" i="30" s="1"/>
  <c r="C21" i="21"/>
  <c r="M39" i="30" s="1"/>
  <c r="C76" i="21"/>
  <c r="C78" i="21"/>
  <c r="L14" i="38"/>
  <c r="N14" i="38" s="1"/>
  <c r="N23" i="38"/>
  <c r="O23" i="38" s="1"/>
  <c r="K69" i="38"/>
  <c r="E13" i="21"/>
  <c r="E14" i="21" s="1"/>
  <c r="D13" i="21"/>
  <c r="D14" i="21" s="1"/>
  <c r="C13" i="21"/>
  <c r="E8" i="5"/>
  <c r="M3" i="21"/>
  <c r="E3" i="21"/>
  <c r="W3" i="21" s="1"/>
  <c r="E5" i="21"/>
  <c r="D21" i="21"/>
  <c r="E7" i="21"/>
  <c r="W7" i="21" s="1"/>
  <c r="D10" i="21"/>
  <c r="N37" i="26" s="1"/>
  <c r="K14" i="40"/>
  <c r="K17" i="40" s="1"/>
  <c r="Q24" i="21"/>
  <c r="N6" i="21"/>
  <c r="Q23" i="21"/>
  <c r="O24" i="21"/>
  <c r="N24" i="21"/>
  <c r="N23" i="21"/>
  <c r="X41" i="30" s="1"/>
  <c r="X24" i="30" s="1"/>
  <c r="G21" i="21"/>
  <c r="D77" i="21"/>
  <c r="E10" i="21"/>
  <c r="O37" i="26" s="1"/>
  <c r="O17" i="26" s="1"/>
  <c r="P7" i="21"/>
  <c r="O7" i="21"/>
  <c r="S9" i="21"/>
  <c r="R9" i="21"/>
  <c r="O3" i="21"/>
  <c r="H3" i="21"/>
  <c r="J4" i="21"/>
  <c r="F9" i="21"/>
  <c r="P37" i="38"/>
  <c r="R37" i="38" s="1"/>
  <c r="N14" i="40"/>
  <c r="N17" i="40" s="1"/>
  <c r="B16" i="5"/>
  <c r="F7" i="5"/>
  <c r="P3" i="21"/>
  <c r="I3" i="21"/>
  <c r="K4" i="21"/>
  <c r="J21" i="21"/>
  <c r="G9" i="21"/>
  <c r="D12" i="21"/>
  <c r="C82" i="21" s="1"/>
  <c r="AG49" i="70"/>
  <c r="S29" i="38"/>
  <c r="Q37" i="38"/>
  <c r="J14" i="40"/>
  <c r="J16" i="40" s="1"/>
  <c r="O14" i="40"/>
  <c r="O17" i="40" s="1"/>
  <c r="P17" i="40"/>
  <c r="F5" i="5"/>
  <c r="C16" i="5"/>
  <c r="F4" i="21"/>
  <c r="I4" i="21"/>
  <c r="H4" i="21"/>
  <c r="J23" i="21"/>
  <c r="T41" i="30" s="1"/>
  <c r="T24" i="30" s="1"/>
  <c r="T15" i="30" s="1"/>
  <c r="J20" i="21"/>
  <c r="T38" i="30" s="1"/>
  <c r="M23" i="21"/>
  <c r="W41" i="30" s="1"/>
  <c r="W24" i="30" s="1"/>
  <c r="K18" i="21"/>
  <c r="J24" i="21"/>
  <c r="J18" i="21"/>
  <c r="P9" i="21"/>
  <c r="O9" i="21"/>
  <c r="Q9" i="21"/>
  <c r="U12" i="21"/>
  <c r="T12" i="21"/>
  <c r="S12" i="21"/>
  <c r="R12" i="21"/>
  <c r="G82" i="21" s="1"/>
  <c r="J3" i="21"/>
  <c r="L4" i="21"/>
  <c r="K6" i="21"/>
  <c r="K24" i="21" s="1"/>
  <c r="H9" i="21"/>
  <c r="E12" i="21"/>
  <c r="N24" i="38"/>
  <c r="O24" i="38" s="1"/>
  <c r="O27" i="38"/>
  <c r="P32" i="38"/>
  <c r="Q40" i="38"/>
  <c r="R40" i="38" s="1"/>
  <c r="K70" i="38"/>
  <c r="Q17" i="40"/>
  <c r="M7" i="21"/>
  <c r="L7" i="21"/>
  <c r="T50" i="21"/>
  <c r="V17" i="6"/>
  <c r="T51" i="21"/>
  <c r="L6" i="21"/>
  <c r="K7" i="21"/>
  <c r="E77" i="21" s="1"/>
  <c r="I9" i="21"/>
  <c r="F12" i="21"/>
  <c r="M15" i="38"/>
  <c r="N15" i="38" s="1"/>
  <c r="P27" i="38"/>
  <c r="K56" i="38"/>
  <c r="K55" i="38"/>
  <c r="M48" i="38" s="1"/>
  <c r="T15" i="40"/>
  <c r="L17" i="40"/>
  <c r="S17" i="40"/>
  <c r="E5" i="5"/>
  <c r="I24" i="21"/>
  <c r="R17" i="6"/>
  <c r="N3" i="21"/>
  <c r="N5" i="21"/>
  <c r="M6" i="21"/>
  <c r="M20" i="21" s="1"/>
  <c r="W38" i="30" s="1"/>
  <c r="N7" i="21"/>
  <c r="F80" i="21"/>
  <c r="G12" i="21"/>
  <c r="M14" i="40"/>
  <c r="T17" i="40"/>
  <c r="E24" i="21"/>
  <c r="O42" i="30" s="1"/>
  <c r="L35" i="21"/>
  <c r="K35" i="21"/>
  <c r="J35" i="21"/>
  <c r="V35" i="21"/>
  <c r="T35" i="21"/>
  <c r="S35" i="21"/>
  <c r="R35" i="21"/>
  <c r="E79" i="21"/>
  <c r="Q35" i="21"/>
  <c r="P35" i="21"/>
  <c r="O35" i="21"/>
  <c r="N35" i="21"/>
  <c r="M35" i="21"/>
  <c r="S17" i="6"/>
  <c r="Q5" i="21"/>
  <c r="O6" i="21"/>
  <c r="Y45" i="30" s="1"/>
  <c r="R6" i="50" s="1"/>
  <c r="Q7" i="21"/>
  <c r="O37" i="21"/>
  <c r="N37" i="21"/>
  <c r="M37" i="21"/>
  <c r="S37" i="21"/>
  <c r="H16" i="5"/>
  <c r="L10" i="21"/>
  <c r="V37" i="26" s="1"/>
  <c r="V17" i="26" s="1"/>
  <c r="K10" i="21"/>
  <c r="U37" i="26" s="1"/>
  <c r="U17" i="26" s="1"/>
  <c r="J10" i="21"/>
  <c r="G3" i="21"/>
  <c r="R5" i="21"/>
  <c r="P6" i="21"/>
  <c r="Z45" i="30" s="1"/>
  <c r="S6" i="50" s="1"/>
  <c r="G77" i="21"/>
  <c r="U38" i="21"/>
  <c r="T38" i="21"/>
  <c r="S38" i="21"/>
  <c r="R38" i="21"/>
  <c r="Q38" i="21"/>
  <c r="P38" i="21"/>
  <c r="O38" i="21"/>
  <c r="N38" i="21"/>
  <c r="M38" i="21"/>
  <c r="V38" i="21"/>
  <c r="F82" i="21"/>
  <c r="F15" i="5"/>
  <c r="R4" i="21"/>
  <c r="S5" i="21"/>
  <c r="Q6" i="21"/>
  <c r="AA45" i="30" s="1"/>
  <c r="T6" i="50" s="1"/>
  <c r="N9" i="21"/>
  <c r="R10" i="21"/>
  <c r="P55" i="38"/>
  <c r="P56" i="38" s="1"/>
  <c r="P13" i="21"/>
  <c r="P14" i="21" s="1"/>
  <c r="E6" i="21"/>
  <c r="E20" i="21" s="1"/>
  <c r="O38" i="30" s="1"/>
  <c r="U4" i="21"/>
  <c r="AE25" i="59" s="1"/>
  <c r="AE30" i="59" s="1"/>
  <c r="T5" i="21"/>
  <c r="AD24" i="59" s="1"/>
  <c r="D15" i="35" s="1"/>
  <c r="E17" i="55" s="1"/>
  <c r="R6" i="21"/>
  <c r="T9" i="21"/>
  <c r="AD35" i="26" s="1"/>
  <c r="J12" i="21"/>
  <c r="E82" i="21" s="1"/>
  <c r="Q13" i="21"/>
  <c r="Q14" i="21" s="1"/>
  <c r="D9" i="21"/>
  <c r="D11" i="21"/>
  <c r="C81" i="21" s="1"/>
  <c r="K12" i="21"/>
  <c r="R13" i="21"/>
  <c r="I6" i="21"/>
  <c r="I18" i="21" s="1"/>
  <c r="S13" i="21"/>
  <c r="S14" i="21" s="1"/>
  <c r="C20" i="21"/>
  <c r="M38" i="30" s="1"/>
  <c r="T13" i="21"/>
  <c r="T14" i="21" s="1"/>
  <c r="D20" i="21"/>
  <c r="N38" i="30" s="1"/>
  <c r="U13" i="21"/>
  <c r="U14" i="21" s="1"/>
  <c r="U15" i="21" s="1"/>
  <c r="C19" i="21"/>
  <c r="M37" i="30" s="1"/>
  <c r="H21" i="21"/>
  <c r="V13" i="21"/>
  <c r="V14" i="21" s="1"/>
  <c r="V15" i="21" s="1"/>
  <c r="D19" i="21"/>
  <c r="N37" i="30" s="1"/>
  <c r="E19" i="21"/>
  <c r="O37" i="30" s="1"/>
  <c r="G20" i="21"/>
  <c r="Q38" i="30" s="1"/>
  <c r="C23" i="21"/>
  <c r="M41" i="30" s="1"/>
  <c r="J13" i="21"/>
  <c r="C18" i="21"/>
  <c r="H20" i="21"/>
  <c r="R38" i="30" s="1"/>
  <c r="D23" i="21"/>
  <c r="N41" i="30" s="1"/>
  <c r="C24" i="21"/>
  <c r="M42" i="30" s="1"/>
  <c r="K13" i="21"/>
  <c r="K14" i="21" s="1"/>
  <c r="D18" i="21"/>
  <c r="G19" i="21"/>
  <c r="Q37" i="30" s="1"/>
  <c r="I20" i="21"/>
  <c r="S38" i="30" s="1"/>
  <c r="E23" i="21"/>
  <c r="O41" i="30" s="1"/>
  <c r="D24" i="21"/>
  <c r="N42" i="30" s="1"/>
  <c r="L13" i="21"/>
  <c r="L14" i="21" s="1"/>
  <c r="E18" i="21"/>
  <c r="H19" i="21"/>
  <c r="R37" i="30" s="1"/>
  <c r="M13" i="21"/>
  <c r="M14" i="21" s="1"/>
  <c r="I19" i="21"/>
  <c r="S37" i="30" s="1"/>
  <c r="G23" i="21"/>
  <c r="Q41" i="30" s="1"/>
  <c r="Q24" i="30" s="1"/>
  <c r="Q13" i="30" s="1"/>
  <c r="Q12" i="30" s="1"/>
  <c r="N13" i="21"/>
  <c r="G18" i="21"/>
  <c r="H23" i="21"/>
  <c r="R41" i="30" s="1"/>
  <c r="R24" i="30" s="1"/>
  <c r="R15" i="30" s="1"/>
  <c r="G24" i="21"/>
  <c r="O13" i="21"/>
  <c r="O14" i="21" s="1"/>
  <c r="H18" i="21"/>
  <c r="I23" i="21"/>
  <c r="S41" i="30" s="1"/>
  <c r="S24" i="30" s="1"/>
  <c r="S13" i="30" s="1"/>
  <c r="S12" i="30" s="1"/>
  <c r="H24" i="21"/>
  <c r="F6" i="21"/>
  <c r="F19" i="21" s="1"/>
  <c r="P37" i="30" s="1"/>
  <c r="AF14" i="20" l="1"/>
  <c r="AG14" i="20" s="1"/>
  <c r="AH14" i="20" s="1"/>
  <c r="AI14" i="20" s="1"/>
  <c r="AJ14" i="20" s="1"/>
  <c r="AK14" i="20" s="1"/>
  <c r="AL14" i="20" s="1"/>
  <c r="AM14" i="20" s="1"/>
  <c r="AN14" i="20" s="1"/>
  <c r="H28" i="48"/>
  <c r="S145" i="48"/>
  <c r="S136" i="48"/>
  <c r="I40" i="48"/>
  <c r="J35" i="48"/>
  <c r="AH27" i="48"/>
  <c r="H22" i="35" s="1"/>
  <c r="I24" i="55" s="1"/>
  <c r="AG27" i="48"/>
  <c r="G22" i="35" s="1"/>
  <c r="H24" i="55" s="1"/>
  <c r="AI27" i="48"/>
  <c r="I22" i="35" s="1"/>
  <c r="J24" i="55" s="1"/>
  <c r="J88" i="55" s="1"/>
  <c r="AJ27" i="48"/>
  <c r="J22" i="35" s="1"/>
  <c r="K24" i="55" s="1"/>
  <c r="K121" i="55" s="1"/>
  <c r="P145" i="48"/>
  <c r="V28" i="48"/>
  <c r="AB120" i="48"/>
  <c r="AA28" i="48"/>
  <c r="T28" i="48"/>
  <c r="AK27" i="48"/>
  <c r="K22" i="35" s="1"/>
  <c r="L24" i="55" s="1"/>
  <c r="L121" i="55" s="1"/>
  <c r="AL27" i="48"/>
  <c r="K38" i="48"/>
  <c r="L34" i="48"/>
  <c r="L38" i="48" s="1"/>
  <c r="AM27" i="48"/>
  <c r="AF27" i="48"/>
  <c r="F22" i="35" s="1"/>
  <c r="G24" i="55" s="1"/>
  <c r="G28" i="48"/>
  <c r="Y28" i="48"/>
  <c r="D85" i="55"/>
  <c r="U28" i="48"/>
  <c r="Q145" i="48"/>
  <c r="X136" i="48"/>
  <c r="J103" i="48"/>
  <c r="K103" i="48" s="1"/>
  <c r="L103" i="48" s="1"/>
  <c r="P120" i="48"/>
  <c r="D77" i="55"/>
  <c r="D45" i="75"/>
  <c r="D46" i="75" s="1"/>
  <c r="E48" i="75" s="1"/>
  <c r="Q48" i="75"/>
  <c r="R48" i="75"/>
  <c r="R40" i="59"/>
  <c r="D71" i="55"/>
  <c r="D4" i="35"/>
  <c r="E6" i="55" s="1"/>
  <c r="AE35" i="20"/>
  <c r="D5" i="35"/>
  <c r="E7" i="55" s="1"/>
  <c r="D121" i="55"/>
  <c r="I103" i="48"/>
  <c r="M28" i="48"/>
  <c r="V136" i="48"/>
  <c r="H41" i="48"/>
  <c r="O52" i="48" s="1"/>
  <c r="I28" i="48"/>
  <c r="AB28" i="48"/>
  <c r="W120" i="48"/>
  <c r="O137" i="48"/>
  <c r="H42" i="48"/>
  <c r="AC136" i="48"/>
  <c r="AD136" i="48" s="1"/>
  <c r="AE136" i="48" s="1"/>
  <c r="AF136" i="48" s="1"/>
  <c r="O150" i="48"/>
  <c r="AC28" i="48"/>
  <c r="AA136" i="48"/>
  <c r="F28" i="48"/>
  <c r="N28" i="48"/>
  <c r="AD27" i="48"/>
  <c r="D22" i="35" s="1"/>
  <c r="E24" i="55" s="1"/>
  <c r="E121" i="55" s="1"/>
  <c r="R28" i="48"/>
  <c r="AE27" i="48"/>
  <c r="E22" i="35" s="1"/>
  <c r="F24" i="55" s="1"/>
  <c r="F121" i="55" s="1"/>
  <c r="J136" i="48"/>
  <c r="U136" i="48"/>
  <c r="Q136" i="48"/>
  <c r="L28" i="48"/>
  <c r="R145" i="48"/>
  <c r="D86" i="55"/>
  <c r="Q120" i="48"/>
  <c r="Z28" i="48"/>
  <c r="J28" i="48"/>
  <c r="F136" i="48"/>
  <c r="O136" i="48"/>
  <c r="O120" i="48"/>
  <c r="D103" i="55"/>
  <c r="D70" i="55"/>
  <c r="F40" i="59"/>
  <c r="S40" i="59"/>
  <c r="J40" i="59"/>
  <c r="E67" i="59"/>
  <c r="E31" i="59" s="1"/>
  <c r="I67" i="59"/>
  <c r="G67" i="59"/>
  <c r="G31" i="59" s="1"/>
  <c r="H67" i="59"/>
  <c r="V69" i="59" s="1"/>
  <c r="V68" i="59" s="1"/>
  <c r="AB64" i="59"/>
  <c r="S64" i="59"/>
  <c r="AD17" i="59"/>
  <c r="AE10" i="33"/>
  <c r="D12" i="35"/>
  <c r="E14" i="55" s="1"/>
  <c r="I22" i="33"/>
  <c r="E98" i="75"/>
  <c r="E97" i="75" s="1"/>
  <c r="E100" i="75" s="1"/>
  <c r="E109" i="75" s="1"/>
  <c r="E37" i="75" s="1"/>
  <c r="E27" i="75"/>
  <c r="E26" i="75" s="1"/>
  <c r="E29" i="75" s="1"/>
  <c r="E101" i="75"/>
  <c r="E39" i="75" s="1"/>
  <c r="Y105" i="75"/>
  <c r="Y104" i="75"/>
  <c r="Y106" i="75" s="1"/>
  <c r="R20" i="25"/>
  <c r="R14" i="75" s="1"/>
  <c r="S36" i="30"/>
  <c r="Q98" i="75"/>
  <c r="Q27" i="75"/>
  <c r="D64" i="59"/>
  <c r="D63" i="59" s="1"/>
  <c r="D66" i="59" s="1"/>
  <c r="D67" i="59"/>
  <c r="D31" i="59" s="1"/>
  <c r="L145" i="48"/>
  <c r="L120" i="48"/>
  <c r="F41" i="75"/>
  <c r="R24" i="75"/>
  <c r="R34" i="75"/>
  <c r="E40" i="59"/>
  <c r="R56" i="20"/>
  <c r="K9" i="50"/>
  <c r="X85" i="75"/>
  <c r="W34" i="75"/>
  <c r="W24" i="75"/>
  <c r="W28" i="75" s="1"/>
  <c r="W26" i="75" s="1"/>
  <c r="T56" i="20"/>
  <c r="M9" i="50"/>
  <c r="AC64" i="59"/>
  <c r="I39" i="75"/>
  <c r="I41" i="75" s="1"/>
  <c r="J101" i="75"/>
  <c r="G63" i="59"/>
  <c r="G66" i="59" s="1"/>
  <c r="I98" i="75"/>
  <c r="I97" i="75" s="1"/>
  <c r="I100" i="75" s="1"/>
  <c r="I109" i="75" s="1"/>
  <c r="I37" i="75" s="1"/>
  <c r="I27" i="75"/>
  <c r="I26" i="75" s="1"/>
  <c r="I29" i="75" s="1"/>
  <c r="S34" i="75"/>
  <c r="S24" i="75"/>
  <c r="AE70" i="59"/>
  <c r="AE72" i="59" s="1"/>
  <c r="AE71" i="59" s="1"/>
  <c r="L93" i="59" s="1"/>
  <c r="L94" i="59" s="1"/>
  <c r="O45" i="75"/>
  <c r="O46" i="75" s="1"/>
  <c r="O48" i="75" s="1"/>
  <c r="O37" i="59"/>
  <c r="O38" i="59" s="1"/>
  <c r="O40" i="59" s="1"/>
  <c r="Z56" i="20"/>
  <c r="S9" i="50"/>
  <c r="S15" i="30"/>
  <c r="I36" i="20"/>
  <c r="H63" i="59"/>
  <c r="H66" i="59" s="1"/>
  <c r="O14" i="75"/>
  <c r="O14" i="59"/>
  <c r="O64" i="59" s="1"/>
  <c r="Z64" i="59"/>
  <c r="G98" i="75"/>
  <c r="G97" i="75" s="1"/>
  <c r="G100" i="75" s="1"/>
  <c r="G109" i="75" s="1"/>
  <c r="G37" i="75" s="1"/>
  <c r="G27" i="75"/>
  <c r="G26" i="75" s="1"/>
  <c r="G29" i="75" s="1"/>
  <c r="M14" i="75"/>
  <c r="M14" i="59"/>
  <c r="M64" i="59" s="1"/>
  <c r="K16" i="40"/>
  <c r="G74" i="21"/>
  <c r="AB33" i="75"/>
  <c r="AB38" i="75" s="1"/>
  <c r="AB23" i="75"/>
  <c r="AB25" i="59"/>
  <c r="AB30" i="59" s="1"/>
  <c r="U5" i="50" s="1"/>
  <c r="P36" i="21"/>
  <c r="L21" i="21"/>
  <c r="V45" i="30"/>
  <c r="K33" i="21"/>
  <c r="J33" i="21"/>
  <c r="I33" i="21"/>
  <c r="V33" i="21"/>
  <c r="H33" i="21"/>
  <c r="U33" i="21"/>
  <c r="T33" i="21"/>
  <c r="S33" i="21"/>
  <c r="R33" i="21"/>
  <c r="Q33" i="21"/>
  <c r="P33" i="21"/>
  <c r="O33" i="21"/>
  <c r="N33" i="21"/>
  <c r="M33" i="21"/>
  <c r="L33" i="21"/>
  <c r="R35" i="26"/>
  <c r="U36" i="30"/>
  <c r="AD73" i="30" s="1"/>
  <c r="S23" i="75"/>
  <c r="S25" i="59"/>
  <c r="S30" i="59" s="1"/>
  <c r="L5" i="50" s="1"/>
  <c r="S33" i="75"/>
  <c r="S38" i="75" s="1"/>
  <c r="J22" i="21"/>
  <c r="T40" i="30" s="1"/>
  <c r="T39" i="30"/>
  <c r="V33" i="75"/>
  <c r="V38" i="75" s="1"/>
  <c r="V25" i="59"/>
  <c r="V30" i="59" s="1"/>
  <c r="O5" i="50" s="1"/>
  <c r="V23" i="75"/>
  <c r="V28" i="75" s="1"/>
  <c r="V44" i="21"/>
  <c r="U44" i="21"/>
  <c r="T44" i="21"/>
  <c r="S44" i="21"/>
  <c r="AC35" i="26"/>
  <c r="P24" i="21"/>
  <c r="N4" i="21"/>
  <c r="Q4" i="21"/>
  <c r="P4" i="21"/>
  <c r="O4" i="21"/>
  <c r="Q30" i="21"/>
  <c r="P30" i="21"/>
  <c r="O30" i="21"/>
  <c r="N30" i="21"/>
  <c r="M30" i="21"/>
  <c r="L30" i="21"/>
  <c r="K30" i="21"/>
  <c r="J30" i="21"/>
  <c r="I30" i="21"/>
  <c r="V30" i="21"/>
  <c r="H30" i="21"/>
  <c r="U30" i="21"/>
  <c r="G30" i="21"/>
  <c r="T30" i="21"/>
  <c r="F30" i="21"/>
  <c r="S30" i="21"/>
  <c r="E30" i="21"/>
  <c r="R30" i="21"/>
  <c r="O35" i="26"/>
  <c r="AG57" i="70"/>
  <c r="AH57" i="70" s="1"/>
  <c r="AI57" i="70" s="1"/>
  <c r="AJ57" i="70" s="1"/>
  <c r="AK57" i="70" s="1"/>
  <c r="AL57" i="70" s="1"/>
  <c r="AM57" i="70" s="1"/>
  <c r="AN57" i="70" s="1"/>
  <c r="J66" i="38"/>
  <c r="J69" i="38"/>
  <c r="H38" i="48"/>
  <c r="H71" i="48"/>
  <c r="H78" i="48" s="1"/>
  <c r="M145" i="48"/>
  <c r="M120" i="48"/>
  <c r="R137" i="48"/>
  <c r="M45" i="75"/>
  <c r="M46" i="75" s="1"/>
  <c r="N48" i="75" s="1"/>
  <c r="M37" i="59"/>
  <c r="M38" i="59" s="1"/>
  <c r="L45" i="75"/>
  <c r="L46" i="75" s="1"/>
  <c r="L37" i="59"/>
  <c r="L38" i="59" s="1"/>
  <c r="K45" i="75"/>
  <c r="K46" i="75" s="1"/>
  <c r="K48" i="75" s="1"/>
  <c r="K37" i="59"/>
  <c r="K38" i="59" s="1"/>
  <c r="K40" i="59" s="1"/>
  <c r="H98" i="75"/>
  <c r="H97" i="75" s="1"/>
  <c r="H100" i="75" s="1"/>
  <c r="H109" i="75" s="1"/>
  <c r="H37" i="75" s="1"/>
  <c r="H27" i="75"/>
  <c r="H26" i="75" s="1"/>
  <c r="H29" i="75" s="1"/>
  <c r="AA46" i="30"/>
  <c r="Q36" i="30"/>
  <c r="Q15" i="21"/>
  <c r="AA36" i="26"/>
  <c r="G75" i="21"/>
  <c r="AB32" i="75"/>
  <c r="AB24" i="59"/>
  <c r="Q36" i="21"/>
  <c r="U51" i="21"/>
  <c r="U47" i="21" s="1"/>
  <c r="AE83" i="26" s="1"/>
  <c r="U50" i="21"/>
  <c r="K21" i="21"/>
  <c r="U45" i="30"/>
  <c r="L23" i="21"/>
  <c r="V41" i="30" s="1"/>
  <c r="V24" i="30" s="1"/>
  <c r="D74" i="21"/>
  <c r="P33" i="75"/>
  <c r="P38" i="75" s="1"/>
  <c r="P23" i="75"/>
  <c r="P25" i="59"/>
  <c r="P30" i="59" s="1"/>
  <c r="I5" i="50" s="1"/>
  <c r="U33" i="75"/>
  <c r="U38" i="75" s="1"/>
  <c r="U25" i="59"/>
  <c r="U30" i="59" s="1"/>
  <c r="N5" i="50" s="1"/>
  <c r="U23" i="75"/>
  <c r="V43" i="21"/>
  <c r="G79" i="21"/>
  <c r="U43" i="21"/>
  <c r="T43" i="21"/>
  <c r="S43" i="21"/>
  <c r="R43" i="21"/>
  <c r="AB35" i="26"/>
  <c r="Q25" i="21"/>
  <c r="AA43" i="30" s="1"/>
  <c r="AA41" i="30"/>
  <c r="AA24" i="30" s="1"/>
  <c r="AC46" i="30"/>
  <c r="C6" i="35" s="1"/>
  <c r="D8" i="55" s="1"/>
  <c r="V6" i="50"/>
  <c r="C7" i="35"/>
  <c r="D9" i="55" s="1"/>
  <c r="L16" i="38"/>
  <c r="S17" i="38"/>
  <c r="F83" i="21"/>
  <c r="N14" i="21"/>
  <c r="N36" i="30"/>
  <c r="H22" i="21"/>
  <c r="R40" i="30" s="1"/>
  <c r="R39" i="30"/>
  <c r="P37" i="21"/>
  <c r="R36" i="21"/>
  <c r="E73" i="55"/>
  <c r="E106" i="55"/>
  <c r="AK20" i="70"/>
  <c r="AK27" i="70" s="1"/>
  <c r="J6" i="71" s="1"/>
  <c r="L32" i="55"/>
  <c r="U34" i="75"/>
  <c r="U24" i="75"/>
  <c r="M136" i="48"/>
  <c r="F24" i="21"/>
  <c r="K15" i="21"/>
  <c r="U36" i="26"/>
  <c r="U33" i="26" s="1"/>
  <c r="AD13" i="26"/>
  <c r="E80" i="21"/>
  <c r="T37" i="26"/>
  <c r="T17" i="26" s="1"/>
  <c r="Q37" i="21"/>
  <c r="U35" i="21"/>
  <c r="S36" i="21"/>
  <c r="E16" i="5"/>
  <c r="D4" i="21"/>
  <c r="C4" i="21"/>
  <c r="L18" i="21"/>
  <c r="F16" i="5"/>
  <c r="D5" i="21"/>
  <c r="C5" i="21"/>
  <c r="F76" i="21"/>
  <c r="X45" i="30"/>
  <c r="C83" i="21"/>
  <c r="C14" i="21"/>
  <c r="W13" i="21"/>
  <c r="M19" i="21"/>
  <c r="W37" i="30" s="1"/>
  <c r="W20" i="30" s="1"/>
  <c r="Y32" i="75"/>
  <c r="Y24" i="59"/>
  <c r="AF16" i="70"/>
  <c r="AF25" i="70" s="1"/>
  <c r="E4" i="71" s="1"/>
  <c r="AF51" i="70"/>
  <c r="G30" i="55"/>
  <c r="D75" i="21"/>
  <c r="P32" i="75"/>
  <c r="P24" i="59"/>
  <c r="V137" i="48"/>
  <c r="V122" i="48"/>
  <c r="AF138" i="48"/>
  <c r="AE26" i="48"/>
  <c r="G72" i="48"/>
  <c r="G79" i="48" s="1"/>
  <c r="G102" i="48" s="1"/>
  <c r="H40" i="48"/>
  <c r="AC26" i="59"/>
  <c r="AA56" i="20"/>
  <c r="T9" i="50"/>
  <c r="Y46" i="30"/>
  <c r="O20" i="25"/>
  <c r="P14" i="75"/>
  <c r="P14" i="59"/>
  <c r="P64" i="59" s="1"/>
  <c r="M25" i="38"/>
  <c r="S26" i="38"/>
  <c r="M26" i="38" s="1"/>
  <c r="O26" i="38" s="1"/>
  <c r="T37" i="59"/>
  <c r="T38" i="59" s="1"/>
  <c r="T45" i="75"/>
  <c r="T46" i="75" s="1"/>
  <c r="L57" i="20"/>
  <c r="L58" i="20" s="1"/>
  <c r="E2" i="50"/>
  <c r="AD14" i="59"/>
  <c r="D8" i="35"/>
  <c r="N20" i="25"/>
  <c r="N14" i="75" s="1"/>
  <c r="I66" i="38"/>
  <c r="I69" i="38"/>
  <c r="I70" i="38"/>
  <c r="E64" i="59"/>
  <c r="E63" i="59" s="1"/>
  <c r="E66" i="59" s="1"/>
  <c r="E75" i="59" s="1"/>
  <c r="E29" i="59" s="1"/>
  <c r="E33" i="59" s="1"/>
  <c r="R13" i="30"/>
  <c r="R12" i="30" s="1"/>
  <c r="T36" i="21"/>
  <c r="K19" i="21"/>
  <c r="U37" i="30" s="1"/>
  <c r="S32" i="75"/>
  <c r="S99" i="75" s="1"/>
  <c r="S24" i="59"/>
  <c r="J48" i="75"/>
  <c r="E4" i="35"/>
  <c r="F6" i="55" s="1"/>
  <c r="T13" i="30"/>
  <c r="T12" i="30" s="1"/>
  <c r="F48" i="75"/>
  <c r="T14" i="75"/>
  <c r="T14" i="59"/>
  <c r="T64" i="59" s="1"/>
  <c r="J70" i="38"/>
  <c r="F63" i="59"/>
  <c r="F66" i="59" s="1"/>
  <c r="F75" i="59" s="1"/>
  <c r="F29" i="59" s="1"/>
  <c r="F33" i="59" s="1"/>
  <c r="T42" i="38"/>
  <c r="P41" i="38"/>
  <c r="R41" i="38" s="1"/>
  <c r="AH16" i="70"/>
  <c r="AH25" i="70" s="1"/>
  <c r="G4" i="71" s="1"/>
  <c r="AH51" i="70"/>
  <c r="I30" i="55"/>
  <c r="U29" i="21"/>
  <c r="G29" i="21"/>
  <c r="G28" i="21" s="1"/>
  <c r="T29" i="21"/>
  <c r="F29" i="21"/>
  <c r="F28" i="21" s="1"/>
  <c r="S29" i="21"/>
  <c r="E29" i="21"/>
  <c r="E28" i="21" s="1"/>
  <c r="R29" i="21"/>
  <c r="R28" i="21" s="1"/>
  <c r="AB81" i="26" s="1"/>
  <c r="D29" i="21"/>
  <c r="D28" i="21" s="1"/>
  <c r="Q29" i="21"/>
  <c r="P29" i="21"/>
  <c r="O29" i="21"/>
  <c r="N29" i="21"/>
  <c r="M29" i="21"/>
  <c r="L29" i="21"/>
  <c r="K29" i="21"/>
  <c r="J29" i="21"/>
  <c r="I29" i="21"/>
  <c r="I28" i="21" s="1"/>
  <c r="V29" i="21"/>
  <c r="H29" i="21"/>
  <c r="H28" i="21" s="1"/>
  <c r="W9" i="21"/>
  <c r="N35" i="26"/>
  <c r="M5" i="21"/>
  <c r="L5" i="21"/>
  <c r="K5" i="21"/>
  <c r="J5" i="21"/>
  <c r="J150" i="48"/>
  <c r="K150" i="48"/>
  <c r="E81" i="55"/>
  <c r="E114" i="55"/>
  <c r="E15" i="21"/>
  <c r="O36" i="26"/>
  <c r="AC33" i="75"/>
  <c r="AC38" i="75" s="1"/>
  <c r="AC23" i="75"/>
  <c r="AC25" i="59"/>
  <c r="AC30" i="59" s="1"/>
  <c r="Q83" i="26"/>
  <c r="E16" i="35"/>
  <c r="F18" i="55" s="1"/>
  <c r="AA32" i="75"/>
  <c r="AA24" i="59"/>
  <c r="V36" i="21"/>
  <c r="M18" i="21"/>
  <c r="V14" i="40"/>
  <c r="J17" i="40"/>
  <c r="C79" i="21"/>
  <c r="R16" i="40"/>
  <c r="L19" i="21"/>
  <c r="V37" i="30" s="1"/>
  <c r="V20" i="30" s="1"/>
  <c r="G15" i="21"/>
  <c r="Q36" i="26"/>
  <c r="D16" i="35"/>
  <c r="E18" i="55" s="1"/>
  <c r="U56" i="70"/>
  <c r="T16" i="20"/>
  <c r="H39" i="75"/>
  <c r="V103" i="75"/>
  <c r="U103" i="75"/>
  <c r="U102" i="75" s="1"/>
  <c r="W69" i="59"/>
  <c r="D76" i="55"/>
  <c r="D109" i="55"/>
  <c r="L64" i="59"/>
  <c r="L63" i="59" s="1"/>
  <c r="L66" i="59" s="1"/>
  <c r="F98" i="75"/>
  <c r="F97" i="75" s="1"/>
  <c r="F100" i="75" s="1"/>
  <c r="F109" i="75" s="1"/>
  <c r="F37" i="75" s="1"/>
  <c r="F27" i="75"/>
  <c r="F26" i="75" s="1"/>
  <c r="F29" i="75" s="1"/>
  <c r="K14" i="75"/>
  <c r="K14" i="59"/>
  <c r="K64" i="59" s="1"/>
  <c r="K63" i="59" s="1"/>
  <c r="K66" i="59" s="1"/>
  <c r="AI51" i="70"/>
  <c r="AI16" i="70"/>
  <c r="AI25" i="70" s="1"/>
  <c r="H4" i="71" s="1"/>
  <c r="J30" i="55"/>
  <c r="V16" i="75"/>
  <c r="V14" i="75" s="1"/>
  <c r="V16" i="59"/>
  <c r="V14" i="59" s="1"/>
  <c r="V64" i="59" s="1"/>
  <c r="W21" i="25"/>
  <c r="D15" i="21"/>
  <c r="N36" i="26"/>
  <c r="R32" i="75"/>
  <c r="R99" i="75" s="1"/>
  <c r="R24" i="59"/>
  <c r="K4" i="50" s="1"/>
  <c r="H120" i="48"/>
  <c r="H145" i="48"/>
  <c r="K34" i="75"/>
  <c r="K99" i="75" s="1"/>
  <c r="K24" i="75"/>
  <c r="K28" i="75" s="1"/>
  <c r="U36" i="21"/>
  <c r="L24" i="21"/>
  <c r="F14" i="21"/>
  <c r="D83" i="21"/>
  <c r="I145" i="48"/>
  <c r="F18" i="21"/>
  <c r="Q32" i="75"/>
  <c r="Q99" i="75" s="1"/>
  <c r="Q24" i="59"/>
  <c r="J4" i="50" s="1"/>
  <c r="K120" i="48"/>
  <c r="K145" i="48"/>
  <c r="Y136" i="48"/>
  <c r="H150" i="48"/>
  <c r="H122" i="48"/>
  <c r="J72" i="48"/>
  <c r="J79" i="48" s="1"/>
  <c r="J40" i="48"/>
  <c r="K35" i="48"/>
  <c r="K28" i="48"/>
  <c r="W28" i="48"/>
  <c r="M15" i="21"/>
  <c r="W36" i="26"/>
  <c r="W33" i="26" s="1"/>
  <c r="T15" i="21"/>
  <c r="AD36" i="26"/>
  <c r="AD33" i="26" s="1"/>
  <c r="E21" i="21"/>
  <c r="O45" i="30"/>
  <c r="R37" i="21"/>
  <c r="V51" i="21"/>
  <c r="V50" i="21"/>
  <c r="K36" i="21"/>
  <c r="M24" i="21"/>
  <c r="O15" i="40"/>
  <c r="H15" i="21"/>
  <c r="R36" i="26"/>
  <c r="N25" i="21"/>
  <c r="X43" i="30" s="1"/>
  <c r="X37" i="30"/>
  <c r="X20" i="30" s="1"/>
  <c r="AI12" i="70"/>
  <c r="AI23" i="70" s="1"/>
  <c r="H2" i="71" s="1"/>
  <c r="J28" i="55"/>
  <c r="N16" i="40"/>
  <c r="S48" i="75"/>
  <c r="P28" i="48"/>
  <c r="W122" i="48"/>
  <c r="Y45" i="75"/>
  <c r="Y37" i="59"/>
  <c r="Z46" i="30"/>
  <c r="L98" i="75"/>
  <c r="L97" i="75" s="1"/>
  <c r="L100" i="75" s="1"/>
  <c r="L27" i="75"/>
  <c r="L26" i="75" s="1"/>
  <c r="L29" i="75" s="1"/>
  <c r="AD18" i="70"/>
  <c r="AD26" i="70" s="1"/>
  <c r="C5" i="71" s="1"/>
  <c r="AD52" i="70"/>
  <c r="E31" i="55"/>
  <c r="J20" i="20"/>
  <c r="F102" i="55"/>
  <c r="F69" i="55"/>
  <c r="U98" i="75"/>
  <c r="U27" i="75"/>
  <c r="T47" i="21"/>
  <c r="AD83" i="26" s="1"/>
  <c r="J14" i="75"/>
  <c r="J20" i="25"/>
  <c r="J14" i="59" s="1"/>
  <c r="J64" i="59" s="1"/>
  <c r="J63" i="59" s="1"/>
  <c r="J66" i="59" s="1"/>
  <c r="O33" i="75"/>
  <c r="O38" i="75" s="1"/>
  <c r="O23" i="75"/>
  <c r="O28" i="75" s="1"/>
  <c r="O25" i="59"/>
  <c r="O30" i="59" s="1"/>
  <c r="H5" i="50" s="1"/>
  <c r="P15" i="21"/>
  <c r="Z36" i="26"/>
  <c r="V47" i="21"/>
  <c r="AF83" i="26" s="1"/>
  <c r="AG83" i="26" s="1"/>
  <c r="AH83" i="26" s="1"/>
  <c r="AI83" i="26" s="1"/>
  <c r="AJ83" i="26" s="1"/>
  <c r="AK83" i="26" s="1"/>
  <c r="AL83" i="26" s="1"/>
  <c r="AM83" i="26" s="1"/>
  <c r="AN83" i="26" s="1"/>
  <c r="E83" i="21"/>
  <c r="J14" i="21"/>
  <c r="S15" i="21"/>
  <c r="AC36" i="26"/>
  <c r="T37" i="21"/>
  <c r="M36" i="21"/>
  <c r="R40" i="21"/>
  <c r="Q40" i="21"/>
  <c r="P40" i="21"/>
  <c r="O40" i="21"/>
  <c r="V40" i="21"/>
  <c r="U40" i="21"/>
  <c r="T40" i="21"/>
  <c r="S40" i="21"/>
  <c r="Y35" i="26"/>
  <c r="K20" i="21"/>
  <c r="U38" i="30" s="1"/>
  <c r="AD75" i="30" s="1"/>
  <c r="AG16" i="70"/>
  <c r="AG25" i="70" s="1"/>
  <c r="F4" i="71" s="1"/>
  <c r="AG51" i="70"/>
  <c r="H30" i="55"/>
  <c r="W11" i="21"/>
  <c r="N17" i="26"/>
  <c r="AO17" i="26" s="1"/>
  <c r="AO37" i="26"/>
  <c r="AP16" i="26" s="1"/>
  <c r="S150" i="48"/>
  <c r="S137" i="48"/>
  <c r="S122" i="48"/>
  <c r="N47" i="21"/>
  <c r="X83" i="26" s="1"/>
  <c r="I47" i="21"/>
  <c r="S83" i="26" s="1"/>
  <c r="I41" i="48"/>
  <c r="J36" i="48"/>
  <c r="I73" i="48"/>
  <c r="I80" i="48" s="1"/>
  <c r="T137" i="48"/>
  <c r="P24" i="75"/>
  <c r="P34" i="75"/>
  <c r="I120" i="48"/>
  <c r="AF56" i="20"/>
  <c r="F3" i="35"/>
  <c r="G5" i="55" s="1"/>
  <c r="S56" i="20"/>
  <c r="L9" i="50"/>
  <c r="M28" i="26"/>
  <c r="C43" i="26"/>
  <c r="S14" i="75"/>
  <c r="I15" i="21"/>
  <c r="S36" i="26"/>
  <c r="J137" i="48"/>
  <c r="N31" i="21"/>
  <c r="M31" i="21"/>
  <c r="L31" i="21"/>
  <c r="K31" i="21"/>
  <c r="J31" i="21"/>
  <c r="I31" i="21"/>
  <c r="V31" i="21"/>
  <c r="H31" i="21"/>
  <c r="U31" i="21"/>
  <c r="G31" i="21"/>
  <c r="T31" i="21"/>
  <c r="F31" i="21"/>
  <c r="S31" i="21"/>
  <c r="D79" i="21"/>
  <c r="R31" i="21"/>
  <c r="Q31" i="21"/>
  <c r="P31" i="21"/>
  <c r="O31" i="21"/>
  <c r="P35" i="26"/>
  <c r="O47" i="21"/>
  <c r="Y83" i="26" s="1"/>
  <c r="R122" i="48"/>
  <c r="J145" i="48"/>
  <c r="I74" i="48"/>
  <c r="I81" i="48" s="1"/>
  <c r="J37" i="48"/>
  <c r="I42" i="48"/>
  <c r="AH56" i="20"/>
  <c r="H3" i="35"/>
  <c r="I5" i="55" s="1"/>
  <c r="D98" i="75"/>
  <c r="D97" i="75" s="1"/>
  <c r="D100" i="75" s="1"/>
  <c r="D109" i="75" s="1"/>
  <c r="D37" i="75" s="1"/>
  <c r="D41" i="75" s="1"/>
  <c r="D27" i="75"/>
  <c r="D26" i="75" s="1"/>
  <c r="D29" i="75" s="1"/>
  <c r="AF13" i="25"/>
  <c r="AE15" i="25"/>
  <c r="AE14" i="25" s="1"/>
  <c r="AE11" i="25" s="1"/>
  <c r="AE20" i="25" s="1"/>
  <c r="AF17" i="30"/>
  <c r="AE13" i="30"/>
  <c r="AE15" i="30"/>
  <c r="AJ12" i="70"/>
  <c r="AJ23" i="70" s="1"/>
  <c r="I2" i="71" s="1"/>
  <c r="K28" i="55"/>
  <c r="G37" i="59"/>
  <c r="G38" i="59" s="1"/>
  <c r="G40" i="59" s="1"/>
  <c r="G45" i="75"/>
  <c r="G46" i="75" s="1"/>
  <c r="G48" i="75" s="1"/>
  <c r="O36" i="30"/>
  <c r="I21" i="21"/>
  <c r="S45" i="30"/>
  <c r="G80" i="21"/>
  <c r="AB37" i="26"/>
  <c r="AB17" i="26" s="1"/>
  <c r="U37" i="21"/>
  <c r="N36" i="21"/>
  <c r="V41" i="21"/>
  <c r="U41" i="21"/>
  <c r="T41" i="21"/>
  <c r="S41" i="21"/>
  <c r="R41" i="21"/>
  <c r="Q41" i="21"/>
  <c r="P41" i="21"/>
  <c r="Z35" i="26"/>
  <c r="L20" i="21"/>
  <c r="V38" i="30" s="1"/>
  <c r="C80" i="21"/>
  <c r="H25" i="21"/>
  <c r="R36" i="30"/>
  <c r="L15" i="21"/>
  <c r="V36" i="26"/>
  <c r="V33" i="26" s="1"/>
  <c r="G83" i="21"/>
  <c r="R14" i="21"/>
  <c r="V39" i="21"/>
  <c r="U39" i="21"/>
  <c r="T39" i="21"/>
  <c r="S39" i="21"/>
  <c r="F79" i="21"/>
  <c r="R39" i="21"/>
  <c r="Q39" i="21"/>
  <c r="P39" i="21"/>
  <c r="O39" i="21"/>
  <c r="N39" i="21"/>
  <c r="X35" i="26"/>
  <c r="V37" i="21"/>
  <c r="F77" i="21"/>
  <c r="D82" i="21"/>
  <c r="J25" i="21"/>
  <c r="T36" i="30"/>
  <c r="L32" i="21"/>
  <c r="K32" i="21"/>
  <c r="J32" i="21"/>
  <c r="I32" i="21"/>
  <c r="V32" i="21"/>
  <c r="H32" i="21"/>
  <c r="U32" i="21"/>
  <c r="G32" i="21"/>
  <c r="T32" i="21"/>
  <c r="S32" i="21"/>
  <c r="R32" i="21"/>
  <c r="Q32" i="21"/>
  <c r="P32" i="21"/>
  <c r="O32" i="21"/>
  <c r="N32" i="21"/>
  <c r="M32" i="21"/>
  <c r="Q35" i="26"/>
  <c r="Q33" i="26" s="1"/>
  <c r="O23" i="21"/>
  <c r="D22" i="21"/>
  <c r="N40" i="30" s="1"/>
  <c r="N39" i="30"/>
  <c r="R17" i="40"/>
  <c r="W10" i="21"/>
  <c r="K47" i="21"/>
  <c r="U83" i="26" s="1"/>
  <c r="G121" i="55"/>
  <c r="G88" i="55"/>
  <c r="O53" i="48"/>
  <c r="N53" i="48"/>
  <c r="M53" i="48"/>
  <c r="P53" i="48"/>
  <c r="AI56" i="20"/>
  <c r="I3" i="35"/>
  <c r="J5" i="55" s="1"/>
  <c r="Q15" i="30"/>
  <c r="W56" i="20"/>
  <c r="P9" i="50"/>
  <c r="M77" i="26"/>
  <c r="AO16" i="26"/>
  <c r="T20" i="25"/>
  <c r="Q14" i="59"/>
  <c r="Q64" i="59" s="1"/>
  <c r="E102" i="55"/>
  <c r="E69" i="55"/>
  <c r="H36" i="20"/>
  <c r="AK12" i="70"/>
  <c r="AK23" i="70" s="1"/>
  <c r="J2" i="71" s="1"/>
  <c r="L28" i="55"/>
  <c r="G76" i="21"/>
  <c r="AB45" i="30"/>
  <c r="Z32" i="75"/>
  <c r="Z24" i="59"/>
  <c r="D76" i="21"/>
  <c r="F21" i="21"/>
  <c r="P45" i="30"/>
  <c r="F23" i="21"/>
  <c r="P41" i="30" s="1"/>
  <c r="P24" i="30" s="1"/>
  <c r="C25" i="21"/>
  <c r="M43" i="30" s="1"/>
  <c r="M36" i="30"/>
  <c r="L36" i="21"/>
  <c r="S42" i="21"/>
  <c r="R42" i="21"/>
  <c r="Q42" i="21"/>
  <c r="V42" i="21"/>
  <c r="U42" i="21"/>
  <c r="T42" i="21"/>
  <c r="AA35" i="26"/>
  <c r="S30" i="38"/>
  <c r="O29" i="38"/>
  <c r="Q29" i="38" s="1"/>
  <c r="G22" i="21"/>
  <c r="Q40" i="30" s="1"/>
  <c r="Q39" i="30"/>
  <c r="L69" i="38"/>
  <c r="I38" i="48"/>
  <c r="I71" i="48"/>
  <c r="I78" i="48" s="1"/>
  <c r="AC56" i="20"/>
  <c r="C3" i="35"/>
  <c r="D5" i="55" s="1"/>
  <c r="V9" i="50"/>
  <c r="Y56" i="20"/>
  <c r="R9" i="50"/>
  <c r="M17" i="40"/>
  <c r="M15" i="40"/>
  <c r="O15" i="21"/>
  <c r="Y36" i="26"/>
  <c r="L37" i="21"/>
  <c r="M21" i="21"/>
  <c r="W45" i="30"/>
  <c r="K34" i="21"/>
  <c r="J34" i="21"/>
  <c r="I34" i="21"/>
  <c r="V34" i="21"/>
  <c r="U34" i="21"/>
  <c r="T34" i="21"/>
  <c r="S34" i="21"/>
  <c r="R34" i="21"/>
  <c r="Q34" i="21"/>
  <c r="P34" i="21"/>
  <c r="O34" i="21"/>
  <c r="N34" i="21"/>
  <c r="M34" i="21"/>
  <c r="L34" i="21"/>
  <c r="S35" i="26"/>
  <c r="S33" i="26" s="1"/>
  <c r="K23" i="21"/>
  <c r="U41" i="30" s="1"/>
  <c r="E74" i="21"/>
  <c r="T23" i="75"/>
  <c r="T28" i="75" s="1"/>
  <c r="T25" i="59"/>
  <c r="T33" i="75"/>
  <c r="O16" i="40"/>
  <c r="H136" i="48"/>
  <c r="Q52" i="21"/>
  <c r="Q47" i="21" s="1"/>
  <c r="AA83" i="26" s="1"/>
  <c r="D78" i="21"/>
  <c r="P52" i="21"/>
  <c r="P47" i="21" s="1"/>
  <c r="Z83" i="26" s="1"/>
  <c r="O52" i="21"/>
  <c r="N52" i="21"/>
  <c r="M52" i="21"/>
  <c r="M47" i="21" s="1"/>
  <c r="W83" i="26" s="1"/>
  <c r="L52" i="21"/>
  <c r="L47" i="21" s="1"/>
  <c r="V83" i="26" s="1"/>
  <c r="K52" i="21"/>
  <c r="J52" i="21"/>
  <c r="J47" i="21" s="1"/>
  <c r="T83" i="26" s="1"/>
  <c r="I52" i="21"/>
  <c r="V52" i="21"/>
  <c r="H52" i="21"/>
  <c r="H47" i="21" s="1"/>
  <c r="U52" i="21"/>
  <c r="T52" i="21"/>
  <c r="S52" i="21"/>
  <c r="S47" i="21" s="1"/>
  <c r="AC83" i="26" s="1"/>
  <c r="R52" i="21"/>
  <c r="R47" i="21" s="1"/>
  <c r="AB83" i="26" s="1"/>
  <c r="Q27" i="38"/>
  <c r="M16" i="40"/>
  <c r="L136" i="48"/>
  <c r="G137" i="48"/>
  <c r="G150" i="48"/>
  <c r="T51" i="48"/>
  <c r="S51" i="48"/>
  <c r="R51" i="48"/>
  <c r="Q51" i="48"/>
  <c r="N34" i="75"/>
  <c r="N24" i="75"/>
  <c r="X28" i="48"/>
  <c r="I88" i="55"/>
  <c r="I121" i="55"/>
  <c r="I150" i="48"/>
  <c r="G41" i="75"/>
  <c r="AK56" i="20"/>
  <c r="K3" i="35"/>
  <c r="L5" i="55" s="1"/>
  <c r="AE12" i="30"/>
  <c r="AD11" i="30"/>
  <c r="AD46" i="30" s="1"/>
  <c r="D6" i="35" s="1"/>
  <c r="E8" i="55" s="1"/>
  <c r="U19" i="74"/>
  <c r="H37" i="59"/>
  <c r="H38" i="59" s="1"/>
  <c r="H45" i="75"/>
  <c r="H46" i="75" s="1"/>
  <c r="V11" i="74"/>
  <c r="V19" i="74" s="1"/>
  <c r="W12" i="74"/>
  <c r="V14" i="74"/>
  <c r="V13" i="74" s="1"/>
  <c r="O24" i="30"/>
  <c r="F20" i="21"/>
  <c r="P38" i="30" s="1"/>
  <c r="AC32" i="75"/>
  <c r="AC24" i="59"/>
  <c r="O36" i="21"/>
  <c r="F75" i="21"/>
  <c r="X32" i="75"/>
  <c r="X24" i="59"/>
  <c r="R23" i="75"/>
  <c r="R28" i="75" s="1"/>
  <c r="R25" i="59"/>
  <c r="R30" i="59" s="1"/>
  <c r="K5" i="50" s="1"/>
  <c r="R33" i="75"/>
  <c r="R38" i="75" s="1"/>
  <c r="E76" i="21"/>
  <c r="P23" i="21"/>
  <c r="O24" i="59"/>
  <c r="O32" i="75"/>
  <c r="W6" i="21"/>
  <c r="L71" i="38"/>
  <c r="AE137" i="48"/>
  <c r="AD25" i="48"/>
  <c r="N145" i="48"/>
  <c r="Q34" i="75"/>
  <c r="Q24" i="75"/>
  <c r="Q28" i="75" s="1"/>
  <c r="H121" i="55"/>
  <c r="H88" i="55"/>
  <c r="J122" i="48"/>
  <c r="I31" i="59"/>
  <c r="Q40" i="59"/>
  <c r="X56" i="20"/>
  <c r="Q9" i="50"/>
  <c r="K57" i="20"/>
  <c r="K58" i="20" s="1"/>
  <c r="D2" i="50"/>
  <c r="I63" i="59"/>
  <c r="I66" i="59" s="1"/>
  <c r="J121" i="55" l="1"/>
  <c r="K88" i="55"/>
  <c r="AD23" i="48"/>
  <c r="AL38" i="80" s="1"/>
  <c r="L88" i="55"/>
  <c r="P52" i="48"/>
  <c r="M52" i="48"/>
  <c r="P40" i="59"/>
  <c r="F88" i="55"/>
  <c r="P48" i="75"/>
  <c r="H48" i="75"/>
  <c r="E103" i="55"/>
  <c r="E70" i="55"/>
  <c r="E5" i="35"/>
  <c r="F7" i="55" s="1"/>
  <c r="AF35" i="20"/>
  <c r="E104" i="55"/>
  <c r="E71" i="55"/>
  <c r="AE23" i="48"/>
  <c r="AE29" i="48" s="1"/>
  <c r="E88" i="55"/>
  <c r="N52" i="48"/>
  <c r="H31" i="59"/>
  <c r="U69" i="59"/>
  <c r="U68" i="59" s="1"/>
  <c r="J67" i="59"/>
  <c r="I75" i="59"/>
  <c r="I29" i="59" s="1"/>
  <c r="G75" i="59"/>
  <c r="G29" i="59" s="1"/>
  <c r="G33" i="59" s="1"/>
  <c r="H75" i="59"/>
  <c r="H29" i="59" s="1"/>
  <c r="H33" i="59" s="1"/>
  <c r="D75" i="59"/>
  <c r="D29" i="59" s="1"/>
  <c r="M40" i="59"/>
  <c r="H40" i="59"/>
  <c r="N40" i="59"/>
  <c r="J75" i="59"/>
  <c r="J29" i="59" s="1"/>
  <c r="R98" i="75"/>
  <c r="R97" i="75" s="1"/>
  <c r="R100" i="75" s="1"/>
  <c r="R27" i="75"/>
  <c r="R26" i="75" s="1"/>
  <c r="R29" i="75" s="1"/>
  <c r="N98" i="75"/>
  <c r="N27" i="75"/>
  <c r="AE14" i="59"/>
  <c r="E8" i="35"/>
  <c r="F10" i="55" s="1"/>
  <c r="R83" i="26"/>
  <c r="W47" i="21"/>
  <c r="N33" i="75"/>
  <c r="N38" i="75" s="1"/>
  <c r="N23" i="75"/>
  <c r="N28" i="75" s="1"/>
  <c r="N25" i="59"/>
  <c r="N30" i="59" s="1"/>
  <c r="G5" i="50" s="1"/>
  <c r="I102" i="55"/>
  <c r="I69" i="55"/>
  <c r="W14" i="75"/>
  <c r="W16" i="59"/>
  <c r="W14" i="59" s="1"/>
  <c r="W64" i="59" s="1"/>
  <c r="X21" i="25"/>
  <c r="I73" i="38"/>
  <c r="I71" i="38"/>
  <c r="V98" i="75"/>
  <c r="V97" i="75" s="1"/>
  <c r="V100" i="75" s="1"/>
  <c r="V27" i="75"/>
  <c r="V26" i="75" s="1"/>
  <c r="V29" i="75" s="1"/>
  <c r="J28" i="21"/>
  <c r="O99" i="75"/>
  <c r="O15" i="30"/>
  <c r="O13" i="30"/>
  <c r="O12" i="30" s="1"/>
  <c r="L125" i="55"/>
  <c r="L93" i="55"/>
  <c r="O46" i="30"/>
  <c r="H6" i="50"/>
  <c r="K98" i="75"/>
  <c r="K97" i="75" s="1"/>
  <c r="K100" i="75" s="1"/>
  <c r="K27" i="75"/>
  <c r="K26" i="75" s="1"/>
  <c r="K29" i="75" s="1"/>
  <c r="V56" i="70"/>
  <c r="U16" i="20"/>
  <c r="F82" i="55"/>
  <c r="F115" i="55"/>
  <c r="U32" i="75"/>
  <c r="U99" i="75" s="1"/>
  <c r="U97" i="75" s="1"/>
  <c r="U100" i="75" s="1"/>
  <c r="U24" i="59"/>
  <c r="P28" i="21"/>
  <c r="Z81" i="26" s="1"/>
  <c r="T43" i="38"/>
  <c r="P42" i="38"/>
  <c r="AD74" i="30"/>
  <c r="U20" i="30"/>
  <c r="P99" i="75"/>
  <c r="N32" i="75"/>
  <c r="N99" i="75" s="1"/>
  <c r="N24" i="59"/>
  <c r="O6" i="50"/>
  <c r="V46" i="30"/>
  <c r="L96" i="59"/>
  <c r="C16" i="35"/>
  <c r="D18" i="55" s="1"/>
  <c r="V5" i="50"/>
  <c r="O98" i="75"/>
  <c r="O97" i="75" s="1"/>
  <c r="O100" i="75" s="1"/>
  <c r="O27" i="75"/>
  <c r="O26" i="75" s="1"/>
  <c r="O29" i="75" s="1"/>
  <c r="V28" i="21"/>
  <c r="AF81" i="26" s="1"/>
  <c r="AG81" i="26" s="1"/>
  <c r="AH81" i="26" s="1"/>
  <c r="AI81" i="26" s="1"/>
  <c r="AJ81" i="26" s="1"/>
  <c r="AK81" i="26" s="1"/>
  <c r="AL81" i="26" s="1"/>
  <c r="AM81" i="26" s="1"/>
  <c r="AN81" i="26" s="1"/>
  <c r="T28" i="21"/>
  <c r="AD81" i="26" s="1"/>
  <c r="Q65" i="59"/>
  <c r="Q63" i="59" s="1"/>
  <c r="Q66" i="59" s="1"/>
  <c r="O30" i="38"/>
  <c r="Q30" i="38" s="1"/>
  <c r="S31" i="38"/>
  <c r="G84" i="21"/>
  <c r="G87" i="21" s="1"/>
  <c r="R15" i="21"/>
  <c r="G85" i="21" s="1"/>
  <c r="AB36" i="26"/>
  <c r="U24" i="30"/>
  <c r="AD61" i="30" s="1"/>
  <c r="AD78" i="30"/>
  <c r="K67" i="59"/>
  <c r="J31" i="59"/>
  <c r="J33" i="59" s="1"/>
  <c r="P6" i="50"/>
  <c r="W46" i="30"/>
  <c r="L6" i="50"/>
  <c r="S46" i="30"/>
  <c r="AF15" i="25"/>
  <c r="AF14" i="25" s="1"/>
  <c r="AF11" i="25" s="1"/>
  <c r="AF20" i="25" s="1"/>
  <c r="AG13" i="25"/>
  <c r="M27" i="26"/>
  <c r="M76" i="26"/>
  <c r="N28" i="26"/>
  <c r="M15" i="26"/>
  <c r="Y33" i="26"/>
  <c r="Y13" i="26"/>
  <c r="E82" i="55"/>
  <c r="E115" i="55"/>
  <c r="V32" i="75"/>
  <c r="V99" i="75" s="1"/>
  <c r="V24" i="59"/>
  <c r="Q28" i="21"/>
  <c r="AA81" i="26" s="1"/>
  <c r="K22" i="21"/>
  <c r="U40" i="30" s="1"/>
  <c r="AD77" i="30" s="1"/>
  <c r="U39" i="30"/>
  <c r="AD76" i="30" s="1"/>
  <c r="O33" i="26"/>
  <c r="Z105" i="75"/>
  <c r="Z104" i="75"/>
  <c r="Z106" i="75" s="1"/>
  <c r="V13" i="30"/>
  <c r="V12" i="30" s="1"/>
  <c r="V15" i="30"/>
  <c r="S18" i="38"/>
  <c r="L17" i="38"/>
  <c r="N17" i="38" s="1"/>
  <c r="P36" i="30"/>
  <c r="O25" i="38"/>
  <c r="M46" i="38"/>
  <c r="M47" i="38" s="1"/>
  <c r="Q4" i="50"/>
  <c r="AD21" i="48"/>
  <c r="D20" i="35" s="1"/>
  <c r="E22" i="55" s="1"/>
  <c r="AD29" i="48"/>
  <c r="T43" i="30"/>
  <c r="J26" i="21"/>
  <c r="X99" i="75"/>
  <c r="N14" i="59"/>
  <c r="N64" i="59" s="1"/>
  <c r="H4" i="50"/>
  <c r="O65" i="59"/>
  <c r="O63" i="59" s="1"/>
  <c r="O66" i="59" s="1"/>
  <c r="J41" i="48"/>
  <c r="K36" i="48"/>
  <c r="J73" i="48"/>
  <c r="J80" i="48" s="1"/>
  <c r="J15" i="21"/>
  <c r="E85" i="21" s="1"/>
  <c r="E84" i="21"/>
  <c r="E87" i="21" s="1"/>
  <c r="T36" i="26"/>
  <c r="T33" i="26" s="1"/>
  <c r="E22" i="21"/>
  <c r="O39" i="30"/>
  <c r="I33" i="59"/>
  <c r="P25" i="21"/>
  <c r="Z43" i="30" s="1"/>
  <c r="Z41" i="30"/>
  <c r="Z24" i="30" s="1"/>
  <c r="W11" i="74"/>
  <c r="W19" i="74" s="1"/>
  <c r="X12" i="74"/>
  <c r="W14" i="74"/>
  <c r="W13" i="74" s="1"/>
  <c r="J38" i="48"/>
  <c r="J71" i="48"/>
  <c r="J78" i="48" s="1"/>
  <c r="O25" i="21"/>
  <c r="Y43" i="30" s="1"/>
  <c r="Y41" i="30"/>
  <c r="Y24" i="30" s="1"/>
  <c r="T52" i="48"/>
  <c r="R52" i="48"/>
  <c r="S52" i="48"/>
  <c r="Q52" i="48"/>
  <c r="J125" i="55"/>
  <c r="J93" i="55"/>
  <c r="W32" i="75"/>
  <c r="W99" i="75" s="1"/>
  <c r="W24" i="59"/>
  <c r="G95" i="55"/>
  <c r="G127" i="55"/>
  <c r="L25" i="21"/>
  <c r="V36" i="30"/>
  <c r="D25" i="21"/>
  <c r="M48" i="75"/>
  <c r="L22" i="21"/>
  <c r="V40" i="30" s="1"/>
  <c r="V39" i="30"/>
  <c r="M22" i="21"/>
  <c r="W40" i="30" s="1"/>
  <c r="W39" i="30"/>
  <c r="J98" i="75"/>
  <c r="J97" i="75" s="1"/>
  <c r="J100" i="75" s="1"/>
  <c r="J109" i="75" s="1"/>
  <c r="J37" i="75" s="1"/>
  <c r="J27" i="75"/>
  <c r="J26" i="75" s="1"/>
  <c r="J29" i="75" s="1"/>
  <c r="AF52" i="70"/>
  <c r="AF18" i="70"/>
  <c r="AF26" i="70" s="1"/>
  <c r="E5" i="71" s="1"/>
  <c r="G31" i="55"/>
  <c r="C74" i="21"/>
  <c r="W4" i="21"/>
  <c r="M23" i="75"/>
  <c r="M28" i="75" s="1"/>
  <c r="M33" i="75"/>
  <c r="M38" i="75" s="1"/>
  <c r="M25" i="59"/>
  <c r="M30" i="59" s="1"/>
  <c r="F5" i="50" s="1"/>
  <c r="N15" i="21"/>
  <c r="F85" i="21" s="1"/>
  <c r="F84" i="21"/>
  <c r="F87" i="21" s="1"/>
  <c r="X36" i="26"/>
  <c r="X33" i="26" s="1"/>
  <c r="AF70" i="59"/>
  <c r="AF72" i="59" s="1"/>
  <c r="AF71" i="59" s="1"/>
  <c r="K101" i="75"/>
  <c r="J39" i="75"/>
  <c r="J41" i="75" s="1"/>
  <c r="E41" i="75"/>
  <c r="I22" i="21"/>
  <c r="S40" i="30" s="1"/>
  <c r="S39" i="30"/>
  <c r="Q26" i="75"/>
  <c r="Q29" i="75" s="1"/>
  <c r="Z33" i="26"/>
  <c r="Z13" i="26"/>
  <c r="Z20" i="26" s="1"/>
  <c r="Z78" i="26" s="1"/>
  <c r="Z73" i="26" s="1"/>
  <c r="U4" i="50"/>
  <c r="AB65" i="59"/>
  <c r="AB63" i="59" s="1"/>
  <c r="AB66" i="59" s="1"/>
  <c r="R65" i="59"/>
  <c r="Q97" i="75"/>
  <c r="Q100" i="75" s="1"/>
  <c r="I6" i="50"/>
  <c r="P46" i="30"/>
  <c r="W68" i="59"/>
  <c r="X69" i="59"/>
  <c r="N16" i="38"/>
  <c r="Y33" i="75"/>
  <c r="Y38" i="75" s="1"/>
  <c r="Y23" i="75"/>
  <c r="Y25" i="59"/>
  <c r="Y30" i="59" s="1"/>
  <c r="R5" i="50" s="1"/>
  <c r="S28" i="21"/>
  <c r="AC81" i="26" s="1"/>
  <c r="P51" i="48"/>
  <c r="N51" i="48"/>
  <c r="O51" i="48"/>
  <c r="M51" i="48"/>
  <c r="W15" i="30"/>
  <c r="W13" i="30"/>
  <c r="W12" i="30" s="1"/>
  <c r="L97" i="55"/>
  <c r="L129" i="55"/>
  <c r="D73" i="55"/>
  <c r="D106" i="55"/>
  <c r="Z25" i="59"/>
  <c r="Z30" i="59" s="1"/>
  <c r="S5" i="50" s="1"/>
  <c r="Z33" i="75"/>
  <c r="Z38" i="75" s="1"/>
  <c r="Z23" i="75"/>
  <c r="E111" i="55"/>
  <c r="E78" i="55"/>
  <c r="Q49" i="48"/>
  <c r="R49" i="48"/>
  <c r="T49" i="48"/>
  <c r="S49" i="48"/>
  <c r="D87" i="21"/>
  <c r="AA33" i="75"/>
  <c r="AA38" i="75" s="1"/>
  <c r="AA23" i="75"/>
  <c r="AA25" i="59"/>
  <c r="AA30" i="59" s="1"/>
  <c r="T5" i="50" s="1"/>
  <c r="T38" i="75"/>
  <c r="T99" i="75"/>
  <c r="AA33" i="26"/>
  <c r="AA13" i="26"/>
  <c r="AA20" i="26" s="1"/>
  <c r="AA78" i="26" s="1"/>
  <c r="AA73" i="26" s="1"/>
  <c r="K125" i="55"/>
  <c r="K93" i="55"/>
  <c r="K72" i="48"/>
  <c r="K79" i="48" s="1"/>
  <c r="L35" i="48"/>
  <c r="K40" i="48"/>
  <c r="F15" i="21"/>
  <c r="D85" i="21" s="1"/>
  <c r="D84" i="21"/>
  <c r="P36" i="26"/>
  <c r="AO36" i="26" s="1"/>
  <c r="AP14" i="26" s="1"/>
  <c r="J127" i="55"/>
  <c r="J95" i="55"/>
  <c r="K28" i="21"/>
  <c r="U28" i="21"/>
  <c r="AE81" i="26" s="1"/>
  <c r="F70" i="55"/>
  <c r="F103" i="55"/>
  <c r="C84" i="21"/>
  <c r="W14" i="21"/>
  <c r="C15" i="21"/>
  <c r="D72" i="55"/>
  <c r="D105" i="55"/>
  <c r="P28" i="75"/>
  <c r="F74" i="21"/>
  <c r="X25" i="59"/>
  <c r="X30" i="59" s="1"/>
  <c r="Q5" i="50" s="1"/>
  <c r="X33" i="75"/>
  <c r="X38" i="75" s="1"/>
  <c r="X23" i="75"/>
  <c r="X28" i="75" s="1"/>
  <c r="X26" i="75" s="1"/>
  <c r="S28" i="75"/>
  <c r="R14" i="59"/>
  <c r="R64" i="59" s="1"/>
  <c r="AE17" i="59"/>
  <c r="AF10" i="33"/>
  <c r="E12" i="35"/>
  <c r="F14" i="55" s="1"/>
  <c r="AO35" i="26"/>
  <c r="AP13" i="26" s="1"/>
  <c r="N33" i="26"/>
  <c r="AH50" i="59"/>
  <c r="AI50" i="59" s="1"/>
  <c r="AJ50" i="59" s="1"/>
  <c r="AK50" i="59" s="1"/>
  <c r="AL50" i="59" s="1"/>
  <c r="AM50" i="59" s="1"/>
  <c r="AD26" i="59"/>
  <c r="AD65" i="59" s="1"/>
  <c r="K36" i="20"/>
  <c r="K20" i="20"/>
  <c r="G102" i="55"/>
  <c r="G69" i="55"/>
  <c r="F22" i="21"/>
  <c r="P40" i="30" s="1"/>
  <c r="P39" i="30"/>
  <c r="S4" i="50"/>
  <c r="E128" i="55"/>
  <c r="E96" i="55"/>
  <c r="M25" i="21"/>
  <c r="W36" i="30"/>
  <c r="L28" i="21"/>
  <c r="F4" i="35"/>
  <c r="G6" i="55" s="1"/>
  <c r="E10" i="55"/>
  <c r="AF26" i="48"/>
  <c r="AG138" i="48"/>
  <c r="C15" i="35"/>
  <c r="D17" i="55" s="1"/>
  <c r="V4" i="50"/>
  <c r="AC65" i="59"/>
  <c r="AC63" i="59" s="1"/>
  <c r="AE11" i="30"/>
  <c r="AE46" i="30" s="1"/>
  <c r="E6" i="35" s="1"/>
  <c r="F8" i="55" s="1"/>
  <c r="AF12" i="30"/>
  <c r="AG136" i="48"/>
  <c r="AF23" i="48"/>
  <c r="AF29" i="48" s="1"/>
  <c r="X13" i="26"/>
  <c r="J74" i="48"/>
  <c r="J81" i="48" s="1"/>
  <c r="J42" i="48"/>
  <c r="K37" i="48"/>
  <c r="S98" i="75"/>
  <c r="S97" i="75" s="1"/>
  <c r="S100" i="75" s="1"/>
  <c r="S27" i="75"/>
  <c r="H95" i="55"/>
  <c r="H127" i="55"/>
  <c r="AD20" i="70"/>
  <c r="AD27" i="70" s="1"/>
  <c r="C6" i="71" s="1"/>
  <c r="E32" i="55"/>
  <c r="AI52" i="70"/>
  <c r="AI18" i="70"/>
  <c r="AI26" i="70" s="1"/>
  <c r="H5" i="71" s="1"/>
  <c r="J31" i="55"/>
  <c r="V102" i="75"/>
  <c r="W103" i="75"/>
  <c r="M28" i="21"/>
  <c r="AH52" i="70"/>
  <c r="AH18" i="70"/>
  <c r="AH26" i="70" s="1"/>
  <c r="G5" i="71" s="1"/>
  <c r="I31" i="55"/>
  <c r="Q6" i="50"/>
  <c r="X46" i="30"/>
  <c r="G25" i="21"/>
  <c r="L40" i="59"/>
  <c r="AC33" i="26"/>
  <c r="AC13" i="26"/>
  <c r="AC20" i="26" s="1"/>
  <c r="K25" i="21"/>
  <c r="M98" i="75"/>
  <c r="M27" i="75"/>
  <c r="M26" i="75" s="1"/>
  <c r="M29" i="75" s="1"/>
  <c r="X34" i="75"/>
  <c r="X24" i="75"/>
  <c r="Y85" i="75"/>
  <c r="P13" i="30"/>
  <c r="P12" i="30" s="1"/>
  <c r="P15" i="30"/>
  <c r="AF137" i="48"/>
  <c r="AE25" i="48"/>
  <c r="T30" i="59"/>
  <c r="M5" i="50" s="1"/>
  <c r="T65" i="59"/>
  <c r="T63" i="59" s="1"/>
  <c r="T66" i="59" s="1"/>
  <c r="Q53" i="48"/>
  <c r="T53" i="48"/>
  <c r="S53" i="48"/>
  <c r="R53" i="48"/>
  <c r="W51" i="48"/>
  <c r="U51" i="48"/>
  <c r="X51" i="48"/>
  <c r="V51" i="48"/>
  <c r="I95" i="55"/>
  <c r="I127" i="55"/>
  <c r="P98" i="75"/>
  <c r="P97" i="75" s="1"/>
  <c r="P100" i="75" s="1"/>
  <c r="P27" i="75"/>
  <c r="AA13" i="30"/>
  <c r="AA12" i="30" s="1"/>
  <c r="AA15" i="30"/>
  <c r="O49" i="48"/>
  <c r="N49" i="48"/>
  <c r="M49" i="48"/>
  <c r="P49" i="48"/>
  <c r="D69" i="55"/>
  <c r="D102" i="55"/>
  <c r="AB46" i="30"/>
  <c r="U6" i="50"/>
  <c r="J69" i="55"/>
  <c r="J102" i="55"/>
  <c r="AG52" i="70"/>
  <c r="AG18" i="70"/>
  <c r="AG26" i="70" s="1"/>
  <c r="F5" i="71" s="1"/>
  <c r="H31" i="55"/>
  <c r="H41" i="75"/>
  <c r="T4" i="50"/>
  <c r="N28" i="21"/>
  <c r="L4" i="50"/>
  <c r="S65" i="59"/>
  <c r="S63" i="59" s="1"/>
  <c r="S66" i="59" s="1"/>
  <c r="AB33" i="26"/>
  <c r="AB13" i="26"/>
  <c r="AB20" i="26" s="1"/>
  <c r="AB78" i="26" s="1"/>
  <c r="AB73" i="26" s="1"/>
  <c r="L48" i="75"/>
  <c r="R33" i="26"/>
  <c r="X13" i="30"/>
  <c r="X12" i="30" s="1"/>
  <c r="X15" i="30"/>
  <c r="T98" i="75"/>
  <c r="T97" i="75" s="1"/>
  <c r="T100" i="75" s="1"/>
  <c r="T27" i="75"/>
  <c r="T26" i="75" s="1"/>
  <c r="T29" i="75" s="1"/>
  <c r="R4" i="50"/>
  <c r="U28" i="75"/>
  <c r="U26" i="75" s="1"/>
  <c r="U29" i="75" s="1"/>
  <c r="I40" i="59"/>
  <c r="E72" i="55"/>
  <c r="E105" i="55"/>
  <c r="L69" i="55"/>
  <c r="L102" i="55"/>
  <c r="R43" i="30"/>
  <c r="H26" i="21"/>
  <c r="AG17" i="30"/>
  <c r="AF13" i="30"/>
  <c r="AF15" i="30"/>
  <c r="T17" i="20"/>
  <c r="T15" i="20"/>
  <c r="T18" i="20" s="1"/>
  <c r="E75" i="21"/>
  <c r="O28" i="21"/>
  <c r="L20" i="20"/>
  <c r="L36" i="20"/>
  <c r="I4" i="50"/>
  <c r="P65" i="59"/>
  <c r="P63" i="59" s="1"/>
  <c r="P66" i="59" s="1"/>
  <c r="C75" i="21"/>
  <c r="W5" i="21"/>
  <c r="M32" i="75"/>
  <c r="M99" i="75" s="1"/>
  <c r="M24" i="59"/>
  <c r="AD82" i="30"/>
  <c r="N6" i="50"/>
  <c r="U46" i="30"/>
  <c r="AD83" i="30" s="1"/>
  <c r="J71" i="38"/>
  <c r="J73" i="38"/>
  <c r="D33" i="59"/>
  <c r="I48" i="75"/>
  <c r="AE21" i="48" l="1"/>
  <c r="E20" i="35" s="1"/>
  <c r="F22" i="55" s="1"/>
  <c r="U46" i="75"/>
  <c r="V46" i="75" s="1"/>
  <c r="W46" i="75" s="1"/>
  <c r="X46" i="75" s="1"/>
  <c r="Y46" i="75" s="1"/>
  <c r="Z46" i="75" s="1"/>
  <c r="AA46" i="75" s="1"/>
  <c r="AB46" i="75" s="1"/>
  <c r="AC46" i="75" s="1"/>
  <c r="U38" i="59"/>
  <c r="V38" i="59" s="1"/>
  <c r="W38" i="59" s="1"/>
  <c r="X38" i="59" s="1"/>
  <c r="Y38" i="59" s="1"/>
  <c r="Z38" i="59" s="1"/>
  <c r="AA38" i="59" s="1"/>
  <c r="AB38" i="59" s="1"/>
  <c r="AC38" i="59" s="1"/>
  <c r="AD38" i="59" s="1"/>
  <c r="F104" i="55"/>
  <c r="F71" i="55"/>
  <c r="F5" i="35"/>
  <c r="G7" i="55" s="1"/>
  <c r="AG35" i="20"/>
  <c r="AA65" i="59"/>
  <c r="AA63" i="59" s="1"/>
  <c r="AA66" i="59" s="1"/>
  <c r="X65" i="59"/>
  <c r="AF14" i="59"/>
  <c r="F8" i="35"/>
  <c r="G10" i="55" s="1"/>
  <c r="AG70" i="59"/>
  <c r="AG72" i="59" s="1"/>
  <c r="AG71" i="59" s="1"/>
  <c r="K31" i="59"/>
  <c r="L67" i="59"/>
  <c r="G4" i="35"/>
  <c r="H6" i="55" s="1"/>
  <c r="Q43" i="30"/>
  <c r="G26" i="21"/>
  <c r="P4" i="50"/>
  <c r="W65" i="59"/>
  <c r="W63" i="59" s="1"/>
  <c r="W66" i="59" s="1"/>
  <c r="X49" i="48"/>
  <c r="V49" i="48"/>
  <c r="W49" i="48"/>
  <c r="U49" i="48"/>
  <c r="S32" i="38"/>
  <c r="O31" i="38"/>
  <c r="Q31" i="38" s="1"/>
  <c r="G4" i="50"/>
  <c r="N65" i="59"/>
  <c r="W56" i="70"/>
  <c r="V16" i="20"/>
  <c r="V42" i="75"/>
  <c r="AB57" i="20"/>
  <c r="AB58" i="20" s="1"/>
  <c r="U2" i="50"/>
  <c r="AH136" i="48"/>
  <c r="AG23" i="48"/>
  <c r="M34" i="48"/>
  <c r="K71" i="48"/>
  <c r="K78" i="48" s="1"/>
  <c r="AG137" i="48"/>
  <c r="AF25" i="48"/>
  <c r="AF21" i="48" s="1"/>
  <c r="F20" i="35" s="1"/>
  <c r="G22" i="55" s="1"/>
  <c r="W43" i="30"/>
  <c r="M26" i="21"/>
  <c r="K73" i="48"/>
  <c r="K80" i="48" s="1"/>
  <c r="L36" i="48"/>
  <c r="K41" i="48"/>
  <c r="N43" i="30"/>
  <c r="D26" i="21"/>
  <c r="AF11" i="30"/>
  <c r="AF46" i="30" s="1"/>
  <c r="F6" i="35" s="1"/>
  <c r="G8" i="55" s="1"/>
  <c r="AG12" i="30"/>
  <c r="F105" i="55"/>
  <c r="F72" i="55"/>
  <c r="I128" i="55"/>
  <c r="I96" i="55"/>
  <c r="X11" i="74"/>
  <c r="X19" i="74" s="1"/>
  <c r="Y12" i="74"/>
  <c r="X14" i="74"/>
  <c r="X13" i="74" s="1"/>
  <c r="X52" i="48"/>
  <c r="W52" i="48"/>
  <c r="V52" i="48"/>
  <c r="U52" i="48"/>
  <c r="O4" i="50"/>
  <c r="V65" i="59"/>
  <c r="V63" i="59" s="1"/>
  <c r="V66" i="59" s="1"/>
  <c r="K109" i="75"/>
  <c r="K37" i="75" s="1"/>
  <c r="W15" i="21"/>
  <c r="C85" i="21"/>
  <c r="C87" i="21" s="1"/>
  <c r="F78" i="55"/>
  <c r="F111" i="55"/>
  <c r="AA57" i="20"/>
  <c r="AA58" i="20" s="1"/>
  <c r="T2" i="50"/>
  <c r="X68" i="59"/>
  <c r="Y69" i="59"/>
  <c r="D114" i="55"/>
  <c r="D81" i="55"/>
  <c r="Z65" i="59"/>
  <c r="Z63" i="59" s="1"/>
  <c r="Z66" i="59" s="1"/>
  <c r="I25" i="21"/>
  <c r="F25" i="21"/>
  <c r="W102" i="75"/>
  <c r="X103" i="75"/>
  <c r="Y81" i="26"/>
  <c r="Y20" i="26"/>
  <c r="Y78" i="26" s="1"/>
  <c r="Y73" i="26" s="1"/>
  <c r="E129" i="55"/>
  <c r="E97" i="55"/>
  <c r="AG11" i="25"/>
  <c r="AG20" i="25" s="1"/>
  <c r="AH13" i="25"/>
  <c r="AG15" i="25"/>
  <c r="AG14" i="25" s="1"/>
  <c r="Y65" i="59"/>
  <c r="Y34" i="75"/>
  <c r="Y99" i="75" s="1"/>
  <c r="Y24" i="75"/>
  <c r="Z85" i="75"/>
  <c r="S26" i="75"/>
  <c r="S29" i="75" s="1"/>
  <c r="AH20" i="70"/>
  <c r="AH27" i="70" s="1"/>
  <c r="G6" i="71" s="1"/>
  <c r="I32" i="55"/>
  <c r="AE26" i="59"/>
  <c r="AE65" i="59" s="1"/>
  <c r="Z13" i="30"/>
  <c r="Z12" i="30" s="1"/>
  <c r="Z15" i="30"/>
  <c r="AD57" i="30"/>
  <c r="U15" i="30"/>
  <c r="AD52" i="30" s="1"/>
  <c r="U13" i="30"/>
  <c r="AG15" i="30"/>
  <c r="AH17" i="30"/>
  <c r="AG13" i="30"/>
  <c r="M97" i="75"/>
  <c r="M100" i="75" s="1"/>
  <c r="P43" i="38"/>
  <c r="R43" i="38" s="1"/>
  <c r="T44" i="38"/>
  <c r="S2" i="50"/>
  <c r="Z57" i="20"/>
  <c r="Z58" i="20" s="1"/>
  <c r="F4" i="50"/>
  <c r="M65" i="59"/>
  <c r="M63" i="59" s="1"/>
  <c r="M66" i="59" s="1"/>
  <c r="K74" i="48"/>
  <c r="K81" i="48" s="1"/>
  <c r="L37" i="48"/>
  <c r="M37" i="48" s="1"/>
  <c r="M42" i="48" s="1"/>
  <c r="AF17" i="48" s="1"/>
  <c r="AG17" i="48" s="1"/>
  <c r="K42" i="48"/>
  <c r="AG26" i="48"/>
  <c r="AH138" i="48"/>
  <c r="AB51" i="48"/>
  <c r="Z51" i="48"/>
  <c r="Y51" i="48"/>
  <c r="AA51" i="48"/>
  <c r="N63" i="59"/>
  <c r="N66" i="59" s="1"/>
  <c r="L18" i="38"/>
  <c r="S19" i="38"/>
  <c r="X16" i="59"/>
  <c r="Y21" i="25"/>
  <c r="X20" i="25"/>
  <c r="X15" i="59" s="1"/>
  <c r="R42" i="38"/>
  <c r="F107" i="55"/>
  <c r="F74" i="55"/>
  <c r="H128" i="55"/>
  <c r="H96" i="55"/>
  <c r="X53" i="48"/>
  <c r="V53" i="48"/>
  <c r="W53" i="48"/>
  <c r="U53" i="48"/>
  <c r="E107" i="55"/>
  <c r="E74" i="55"/>
  <c r="AG20" i="70"/>
  <c r="AG27" i="70" s="1"/>
  <c r="F6" i="71" s="1"/>
  <c r="H32" i="55"/>
  <c r="U43" i="30"/>
  <c r="AD80" i="30" s="1"/>
  <c r="K26" i="21"/>
  <c r="X81" i="26"/>
  <c r="AO13" i="26"/>
  <c r="AF17" i="59"/>
  <c r="AG10" i="33"/>
  <c r="F12" i="35"/>
  <c r="G14" i="55" s="1"/>
  <c r="Y28" i="75"/>
  <c r="Y26" i="75" s="1"/>
  <c r="L101" i="75"/>
  <c r="K39" i="75"/>
  <c r="K41" i="75" s="1"/>
  <c r="AF20" i="70"/>
  <c r="AF27" i="70" s="1"/>
  <c r="E6" i="71" s="1"/>
  <c r="G32" i="55"/>
  <c r="V43" i="30"/>
  <c r="L26" i="21"/>
  <c r="D47" i="26"/>
  <c r="M20" i="26"/>
  <c r="M78" i="26" s="1"/>
  <c r="M73" i="26" s="1"/>
  <c r="AC78" i="26"/>
  <c r="AD20" i="26"/>
  <c r="P33" i="26"/>
  <c r="AO33" i="26" s="1"/>
  <c r="N27" i="26"/>
  <c r="N15" i="26"/>
  <c r="N20" i="26" s="1"/>
  <c r="N78" i="26" s="1"/>
  <c r="O28" i="26"/>
  <c r="N76" i="26"/>
  <c r="N73" i="26" s="1"/>
  <c r="D82" i="55"/>
  <c r="D115" i="55"/>
  <c r="N4" i="50"/>
  <c r="U65" i="59"/>
  <c r="U63" i="59" s="1"/>
  <c r="U66" i="59" s="1"/>
  <c r="F119" i="55"/>
  <c r="F86" i="55"/>
  <c r="J96" i="55"/>
  <c r="J128" i="55"/>
  <c r="P26" i="75"/>
  <c r="P29" i="75" s="1"/>
  <c r="AI20" i="70"/>
  <c r="AI27" i="70" s="1"/>
  <c r="H6" i="71" s="1"/>
  <c r="J32" i="55"/>
  <c r="G103" i="55"/>
  <c r="G70" i="55"/>
  <c r="R63" i="59"/>
  <c r="R66" i="59" s="1"/>
  <c r="Y13" i="30"/>
  <c r="Y12" i="30" s="1"/>
  <c r="Y15" i="30"/>
  <c r="O40" i="30"/>
  <c r="E25" i="21"/>
  <c r="N26" i="75"/>
  <c r="N29" i="75" s="1"/>
  <c r="L72" i="48"/>
  <c r="L79" i="48" s="1"/>
  <c r="L40" i="48"/>
  <c r="M35" i="48"/>
  <c r="G96" i="55"/>
  <c r="G128" i="55"/>
  <c r="E86" i="55"/>
  <c r="E119" i="55"/>
  <c r="AA104" i="75"/>
  <c r="AA106" i="75" s="1"/>
  <c r="AA105" i="75"/>
  <c r="N97" i="75"/>
  <c r="N100" i="75" s="1"/>
  <c r="K75" i="59"/>
  <c r="K29" i="59" s="1"/>
  <c r="U15" i="20"/>
  <c r="U18" i="20" s="1"/>
  <c r="U17" i="20"/>
  <c r="N34" i="48" l="1"/>
  <c r="M38" i="48"/>
  <c r="AG10" i="48" s="1"/>
  <c r="C18" i="35"/>
  <c r="D20" i="55" s="1"/>
  <c r="D84" i="55" s="1"/>
  <c r="G5" i="35"/>
  <c r="H7" i="55" s="1"/>
  <c r="AH35" i="20"/>
  <c r="G71" i="55"/>
  <c r="G104" i="55"/>
  <c r="M57" i="20"/>
  <c r="M58" i="20" s="1"/>
  <c r="F2" i="50"/>
  <c r="AH70" i="59"/>
  <c r="AH72" i="59" s="1"/>
  <c r="AH71" i="59" s="1"/>
  <c r="N18" i="38"/>
  <c r="M40" i="48"/>
  <c r="N35" i="48"/>
  <c r="N40" i="48" s="1"/>
  <c r="M72" i="48"/>
  <c r="M79" i="48" s="1"/>
  <c r="AC57" i="20"/>
  <c r="AC58" i="20" s="1"/>
  <c r="C2" i="35"/>
  <c r="D4" i="55" s="1"/>
  <c r="V2" i="50"/>
  <c r="AF51" i="48"/>
  <c r="AE51" i="48"/>
  <c r="AD51" i="48"/>
  <c r="AC51" i="48"/>
  <c r="AD13" i="48"/>
  <c r="X14" i="75"/>
  <c r="AB53" i="48"/>
  <c r="AA53" i="48"/>
  <c r="Z53" i="48"/>
  <c r="Y53" i="48"/>
  <c r="AD50" i="30"/>
  <c r="U12" i="30"/>
  <c r="AD49" i="30" s="1"/>
  <c r="S43" i="30"/>
  <c r="I26" i="21"/>
  <c r="L41" i="48"/>
  <c r="M36" i="48"/>
  <c r="L73" i="48"/>
  <c r="L80" i="48" s="1"/>
  <c r="AB49" i="48"/>
  <c r="AA49" i="48"/>
  <c r="Z49" i="48"/>
  <c r="Y49" i="48"/>
  <c r="K33" i="59"/>
  <c r="D3" i="50" s="1"/>
  <c r="S33" i="38"/>
  <c r="O32" i="38"/>
  <c r="Q32" i="38" s="1"/>
  <c r="L71" i="48"/>
  <c r="L78" i="48" s="1"/>
  <c r="AE38" i="59"/>
  <c r="D18" i="35"/>
  <c r="E20" i="55" s="1"/>
  <c r="G86" i="55"/>
  <c r="G119" i="55"/>
  <c r="O43" i="30"/>
  <c r="E26" i="21"/>
  <c r="AH15" i="25"/>
  <c r="AH14" i="25" s="1"/>
  <c r="AH11" i="25" s="1"/>
  <c r="AH20" i="25" s="1"/>
  <c r="AI13" i="25"/>
  <c r="Y68" i="59"/>
  <c r="Z69" i="59"/>
  <c r="G129" i="55"/>
  <c r="G97" i="55"/>
  <c r="Z20" i="20"/>
  <c r="Z36" i="20"/>
  <c r="AG14" i="59"/>
  <c r="G8" i="35"/>
  <c r="H10" i="55" s="1"/>
  <c r="AI136" i="48"/>
  <c r="AH23" i="48"/>
  <c r="H129" i="55"/>
  <c r="H97" i="55"/>
  <c r="AG11" i="30"/>
  <c r="AG46" i="30" s="1"/>
  <c r="G6" i="35" s="1"/>
  <c r="H8" i="55" s="1"/>
  <c r="AH12" i="30"/>
  <c r="AB20" i="20"/>
  <c r="AB36" i="20"/>
  <c r="AB104" i="75"/>
  <c r="AB106" i="75" s="1"/>
  <c r="AB105" i="75" s="1"/>
  <c r="M101" i="75"/>
  <c r="L39" i="75"/>
  <c r="L109" i="75"/>
  <c r="L37" i="75" s="1"/>
  <c r="P44" i="38"/>
  <c r="T45" i="38"/>
  <c r="P45" i="38" s="1"/>
  <c r="R45" i="38" s="1"/>
  <c r="AF65" i="59"/>
  <c r="Y57" i="20"/>
  <c r="Y58" i="20" s="1"/>
  <c r="R2" i="50"/>
  <c r="AA36" i="20"/>
  <c r="AA20" i="20"/>
  <c r="G105" i="55"/>
  <c r="G72" i="55"/>
  <c r="O27" i="26"/>
  <c r="O76" i="26"/>
  <c r="P28" i="26"/>
  <c r="O15" i="26"/>
  <c r="N57" i="20"/>
  <c r="N58" i="20" s="1"/>
  <c r="G2" i="50"/>
  <c r="S20" i="38"/>
  <c r="L20" i="38" s="1"/>
  <c r="N20" i="38" s="1"/>
  <c r="N46" i="38" s="1"/>
  <c r="N47" i="38" s="1"/>
  <c r="L19" i="38"/>
  <c r="N19" i="38" s="1"/>
  <c r="L74" i="48"/>
  <c r="L81" i="48" s="1"/>
  <c r="L42" i="48"/>
  <c r="AD17" i="48" s="1"/>
  <c r="AH17" i="48" s="1"/>
  <c r="AI17" i="48" s="1"/>
  <c r="AJ17" i="48" s="1"/>
  <c r="AK17" i="48" s="1"/>
  <c r="AL17" i="48" s="1"/>
  <c r="AM17" i="48" s="1"/>
  <c r="AN17" i="48" s="1"/>
  <c r="M109" i="75"/>
  <c r="M37" i="75" s="1"/>
  <c r="I129" i="55"/>
  <c r="I97" i="55"/>
  <c r="X102" i="75"/>
  <c r="Y103" i="75"/>
  <c r="V17" i="20"/>
  <c r="V15" i="20"/>
  <c r="V18" i="20" s="1"/>
  <c r="J129" i="55"/>
  <c r="J97" i="55"/>
  <c r="D43" i="26"/>
  <c r="E47" i="26"/>
  <c r="E43" i="26" s="1"/>
  <c r="G78" i="55"/>
  <c r="G111" i="55"/>
  <c r="X14" i="59"/>
  <c r="X64" i="59" s="1"/>
  <c r="X63" i="59" s="1"/>
  <c r="X66" i="59" s="1"/>
  <c r="Z12" i="74"/>
  <c r="Y14" i="74"/>
  <c r="Y13" i="74" s="1"/>
  <c r="Y11" i="74"/>
  <c r="Y19" i="74" s="1"/>
  <c r="X56" i="70"/>
  <c r="W16" i="20"/>
  <c r="H70" i="55"/>
  <c r="H103" i="55"/>
  <c r="G74" i="55"/>
  <c r="G107" i="55"/>
  <c r="AD78" i="26"/>
  <c r="AD73" i="26" s="1"/>
  <c r="AE20" i="26"/>
  <c r="AD11" i="26"/>
  <c r="AG17" i="59"/>
  <c r="AH10" i="33"/>
  <c r="G12" i="35"/>
  <c r="H14" i="55" s="1"/>
  <c r="Y16" i="59"/>
  <c r="Y20" i="25"/>
  <c r="Y15" i="59" s="1"/>
  <c r="AH26" i="48"/>
  <c r="AI138" i="48"/>
  <c r="AI17" i="30"/>
  <c r="AH13" i="30"/>
  <c r="H4" i="35"/>
  <c r="I6" i="55" s="1"/>
  <c r="Z34" i="75"/>
  <c r="Z99" i="75" s="1"/>
  <c r="Z24" i="75"/>
  <c r="AA85" i="75"/>
  <c r="P43" i="30"/>
  <c r="F26" i="21"/>
  <c r="AA52" i="48"/>
  <c r="Y52" i="48"/>
  <c r="AB52" i="48"/>
  <c r="Z52" i="48"/>
  <c r="AH137" i="48"/>
  <c r="AG25" i="48"/>
  <c r="AG21" i="48" s="1"/>
  <c r="G20" i="35" s="1"/>
  <c r="H22" i="55" s="1"/>
  <c r="L31" i="59"/>
  <c r="M67" i="59"/>
  <c r="L75" i="59"/>
  <c r="L29" i="59" s="1"/>
  <c r="AH10" i="48" l="1"/>
  <c r="AI10" i="48" s="1"/>
  <c r="AJ10" i="48" s="1"/>
  <c r="AK10" i="48"/>
  <c r="AL10" i="48" s="1"/>
  <c r="AM10" i="48" s="1"/>
  <c r="AN10" i="48" s="1"/>
  <c r="AL37" i="80"/>
  <c r="AE13" i="48"/>
  <c r="D117" i="55"/>
  <c r="H71" i="55"/>
  <c r="H104" i="55"/>
  <c r="AI35" i="20"/>
  <c r="H5" i="35"/>
  <c r="I7" i="55" s="1"/>
  <c r="Y14" i="59"/>
  <c r="Y64" i="59" s="1"/>
  <c r="Y63" i="59" s="1"/>
  <c r="Y66" i="59" s="1"/>
  <c r="L33" i="59"/>
  <c r="E3" i="50" s="1"/>
  <c r="AH14" i="59"/>
  <c r="H8" i="35"/>
  <c r="I10" i="55" s="1"/>
  <c r="H119" i="55"/>
  <c r="H86" i="55"/>
  <c r="AI70" i="59"/>
  <c r="AI72" i="59" s="1"/>
  <c r="AI71" i="59" s="1"/>
  <c r="AC104" i="75"/>
  <c r="AC106" i="75" s="1"/>
  <c r="AC105" i="75" s="1"/>
  <c r="AI13" i="30"/>
  <c r="AJ17" i="30"/>
  <c r="AE53" i="48"/>
  <c r="AC53" i="48"/>
  <c r="AF53" i="48"/>
  <c r="AD53" i="48"/>
  <c r="AJ136" i="48"/>
  <c r="AI23" i="48"/>
  <c r="N37" i="48"/>
  <c r="N42" i="48" s="1"/>
  <c r="AG53" i="48"/>
  <c r="M74" i="48"/>
  <c r="M81" i="48" s="1"/>
  <c r="Y20" i="20"/>
  <c r="Y36" i="20"/>
  <c r="I4" i="35"/>
  <c r="J6" i="55" s="1"/>
  <c r="H74" i="55"/>
  <c r="H107" i="55"/>
  <c r="AA24" i="75"/>
  <c r="AA34" i="75"/>
  <c r="AA99" i="75" s="1"/>
  <c r="AB85" i="75"/>
  <c r="Y14" i="75"/>
  <c r="W17" i="20"/>
  <c r="W15" i="20"/>
  <c r="W18" i="20" s="1"/>
  <c r="E84" i="55"/>
  <c r="E117" i="55"/>
  <c r="O33" i="38"/>
  <c r="Q33" i="38" s="1"/>
  <c r="S34" i="38"/>
  <c r="AI51" i="48"/>
  <c r="AH51" i="48"/>
  <c r="AG51" i="48"/>
  <c r="AJ51" i="48"/>
  <c r="Z28" i="75"/>
  <c r="Z26" i="75" s="1"/>
  <c r="AG26" i="59"/>
  <c r="AG65" i="59" s="1"/>
  <c r="AF38" i="59"/>
  <c r="AG38" i="59" s="1"/>
  <c r="E18" i="35"/>
  <c r="F20" i="55" s="1"/>
  <c r="H111" i="55"/>
  <c r="H78" i="55"/>
  <c r="AI10" i="33"/>
  <c r="AH17" i="59"/>
  <c r="H12" i="35"/>
  <c r="I14" i="55" s="1"/>
  <c r="J22" i="33"/>
  <c r="N20" i="20"/>
  <c r="N36" i="20"/>
  <c r="AH11" i="30"/>
  <c r="AH46" i="30" s="1"/>
  <c r="H6" i="35" s="1"/>
  <c r="I8" i="55" s="1"/>
  <c r="AI12" i="30"/>
  <c r="Y56" i="70"/>
  <c r="X16" i="20"/>
  <c r="R44" i="38"/>
  <c r="R46" i="38" s="1"/>
  <c r="R47" i="38" s="1"/>
  <c r="P46" i="38"/>
  <c r="P47" i="38" s="1"/>
  <c r="H105" i="55"/>
  <c r="H72" i="55"/>
  <c r="L46" i="38"/>
  <c r="L47" i="38" s="1"/>
  <c r="AI137" i="48"/>
  <c r="AH25" i="48"/>
  <c r="AH21" i="48" s="1"/>
  <c r="H20" i="35" s="1"/>
  <c r="I22" i="55" s="1"/>
  <c r="AJ138" i="48"/>
  <c r="AI26" i="48"/>
  <c r="M31" i="59"/>
  <c r="N67" i="59"/>
  <c r="Z14" i="74"/>
  <c r="Z13" i="74" s="1"/>
  <c r="Z11" i="74"/>
  <c r="Z19" i="74" s="1"/>
  <c r="AA12" i="74"/>
  <c r="O20" i="26"/>
  <c r="O78" i="26" s="1"/>
  <c r="O73" i="26" s="1"/>
  <c r="M75" i="59"/>
  <c r="M29" i="59" s="1"/>
  <c r="AD30" i="48"/>
  <c r="AD57" i="20"/>
  <c r="AD58" i="20" s="1"/>
  <c r="D2" i="35"/>
  <c r="E4" i="55" s="1"/>
  <c r="I103" i="55"/>
  <c r="I70" i="55"/>
  <c r="AE11" i="26"/>
  <c r="AF20" i="26"/>
  <c r="AE78" i="26"/>
  <c r="AE73" i="26" s="1"/>
  <c r="Y102" i="75"/>
  <c r="Z103" i="75"/>
  <c r="P27" i="26"/>
  <c r="P15" i="26"/>
  <c r="P20" i="26" s="1"/>
  <c r="P78" i="26" s="1"/>
  <c r="Q28" i="26"/>
  <c r="P76" i="26"/>
  <c r="P73" i="26" s="1"/>
  <c r="L41" i="75"/>
  <c r="Z68" i="59"/>
  <c r="AA69" i="59"/>
  <c r="N101" i="75"/>
  <c r="M39" i="75"/>
  <c r="M41" i="75" s="1"/>
  <c r="AI11" i="25"/>
  <c r="AI20" i="25" s="1"/>
  <c r="AJ13" i="25"/>
  <c r="AI15" i="25"/>
  <c r="AI14" i="25" s="1"/>
  <c r="M71" i="48"/>
  <c r="M78" i="48" s="1"/>
  <c r="N38" i="48"/>
  <c r="M73" i="48"/>
  <c r="M80" i="48" s="1"/>
  <c r="N36" i="48"/>
  <c r="N41" i="48" s="1"/>
  <c r="M41" i="48"/>
  <c r="AE49" i="48"/>
  <c r="AC49" i="48"/>
  <c r="AF49" i="48"/>
  <c r="AD49" i="48"/>
  <c r="AF52" i="48"/>
  <c r="AE52" i="48"/>
  <c r="AD52" i="48"/>
  <c r="AD15" i="48"/>
  <c r="AE15" i="48" s="1"/>
  <c r="AF15" i="48" s="1"/>
  <c r="AG15" i="48" s="1"/>
  <c r="AH15" i="48" s="1"/>
  <c r="AI15" i="48" s="1"/>
  <c r="AJ15" i="48" s="1"/>
  <c r="AK15" i="48" s="1"/>
  <c r="AL15" i="48" s="1"/>
  <c r="AM15" i="48" s="1"/>
  <c r="AN15" i="48" s="1"/>
  <c r="AC52" i="48"/>
  <c r="M36" i="20"/>
  <c r="M20" i="20"/>
  <c r="D101" i="55"/>
  <c r="D68" i="55"/>
  <c r="AC36" i="20"/>
  <c r="AC20" i="20"/>
  <c r="AE9" i="48" l="1"/>
  <c r="AD9" i="48"/>
  <c r="I104" i="55"/>
  <c r="I71" i="55"/>
  <c r="AJ35" i="20"/>
  <c r="I5" i="35"/>
  <c r="J7" i="55" s="1"/>
  <c r="O57" i="20"/>
  <c r="O58" i="20" s="1"/>
  <c r="H2" i="50"/>
  <c r="AD104" i="75"/>
  <c r="AD106" i="75" s="1"/>
  <c r="AD105" i="75"/>
  <c r="AJ70" i="59"/>
  <c r="AJ72" i="59" s="1"/>
  <c r="AJ71" i="59" s="1"/>
  <c r="M93" i="59"/>
  <c r="I119" i="55"/>
  <c r="I86" i="55"/>
  <c r="F117" i="55"/>
  <c r="F84" i="55"/>
  <c r="AK138" i="48"/>
  <c r="AJ26" i="48"/>
  <c r="Q15" i="26"/>
  <c r="Q76" i="26"/>
  <c r="R28" i="26"/>
  <c r="Q27" i="26"/>
  <c r="AJ137" i="48"/>
  <c r="AI25" i="48"/>
  <c r="AI21" i="48" s="1"/>
  <c r="I20" i="35" s="1"/>
  <c r="J22" i="55" s="1"/>
  <c r="F18" i="35"/>
  <c r="G20" i="55" s="1"/>
  <c r="AI14" i="59"/>
  <c r="I8" i="35"/>
  <c r="J10" i="55" s="1"/>
  <c r="Z102" i="75"/>
  <c r="AA103" i="75"/>
  <c r="AA68" i="59"/>
  <c r="AB69" i="59"/>
  <c r="AJ49" i="48"/>
  <c r="AI49" i="48"/>
  <c r="AH49" i="48"/>
  <c r="AG49" i="48"/>
  <c r="P57" i="20"/>
  <c r="P58" i="20" s="1"/>
  <c r="I2" i="50"/>
  <c r="AK13" i="25"/>
  <c r="AJ15" i="25"/>
  <c r="AJ14" i="25" s="1"/>
  <c r="AJ11" i="25" s="1"/>
  <c r="AJ20" i="25" s="1"/>
  <c r="AE30" i="48"/>
  <c r="AF13" i="48"/>
  <c r="AF9" i="48" s="1"/>
  <c r="AI11" i="30"/>
  <c r="AI46" i="30" s="1"/>
  <c r="I6" i="35" s="1"/>
  <c r="J8" i="55" s="1"/>
  <c r="AJ12" i="30"/>
  <c r="AJ13" i="30"/>
  <c r="AK17" i="30"/>
  <c r="I105" i="55"/>
  <c r="I72" i="55"/>
  <c r="AH26" i="59"/>
  <c r="AH65" i="59" s="1"/>
  <c r="AC85" i="75"/>
  <c r="AB24" i="75"/>
  <c r="AB34" i="75"/>
  <c r="AB99" i="75" s="1"/>
  <c r="AA28" i="75"/>
  <c r="AA26" i="75" s="1"/>
  <c r="I111" i="55"/>
  <c r="I78" i="55"/>
  <c r="AF78" i="26"/>
  <c r="AF73" i="26" s="1"/>
  <c r="AF11" i="26"/>
  <c r="AG20" i="26"/>
  <c r="J103" i="55"/>
  <c r="J70" i="55"/>
  <c r="AE57" i="20"/>
  <c r="AE58" i="20" s="1"/>
  <c r="E2" i="35"/>
  <c r="F4" i="55" s="1"/>
  <c r="AA14" i="74"/>
  <c r="AA13" i="74" s="1"/>
  <c r="AA11" i="74"/>
  <c r="AA19" i="74" s="1"/>
  <c r="AB12" i="74"/>
  <c r="O101" i="75"/>
  <c r="N39" i="75"/>
  <c r="N109" i="75"/>
  <c r="N37" i="75" s="1"/>
  <c r="AJ52" i="48"/>
  <c r="AI52" i="48"/>
  <c r="AH52" i="48"/>
  <c r="AG52" i="48"/>
  <c r="AJ10" i="33"/>
  <c r="I12" i="35"/>
  <c r="J14" i="55" s="1"/>
  <c r="AI17" i="59"/>
  <c r="N31" i="59"/>
  <c r="O67" i="59"/>
  <c r="N75" i="59"/>
  <c r="N29" i="59" s="1"/>
  <c r="S35" i="38"/>
  <c r="O34" i="38"/>
  <c r="Q34" i="38" s="1"/>
  <c r="J4" i="35"/>
  <c r="K6" i="55" s="1"/>
  <c r="AK136" i="48"/>
  <c r="AJ23" i="48"/>
  <c r="M33" i="59"/>
  <c r="F3" i="50" s="1"/>
  <c r="X17" i="20"/>
  <c r="X15" i="20"/>
  <c r="X18" i="20" s="1"/>
  <c r="D21" i="35"/>
  <c r="E23" i="55" s="1"/>
  <c r="E68" i="55"/>
  <c r="E101" i="55"/>
  <c r="Z56" i="70"/>
  <c r="Y16" i="20"/>
  <c r="I74" i="55"/>
  <c r="I107" i="55"/>
  <c r="J104" i="55" l="1"/>
  <c r="J71" i="55"/>
  <c r="J5" i="35"/>
  <c r="K7" i="55" s="1"/>
  <c r="AK35" i="20"/>
  <c r="AJ14" i="59"/>
  <c r="J8" i="35"/>
  <c r="K10" i="55" s="1"/>
  <c r="AK70" i="59"/>
  <c r="AK72" i="59" s="1"/>
  <c r="AK71" i="59" s="1"/>
  <c r="AL136" i="48"/>
  <c r="AK23" i="48"/>
  <c r="AF57" i="20"/>
  <c r="AF58" i="20" s="1"/>
  <c r="F2" i="35"/>
  <c r="G4" i="55" s="1"/>
  <c r="AL13" i="25"/>
  <c r="AK15" i="25"/>
  <c r="AK14" i="25" s="1"/>
  <c r="AK11" i="25" s="1"/>
  <c r="AK20" i="25" s="1"/>
  <c r="AA56" i="70"/>
  <c r="Z16" i="20"/>
  <c r="AD28" i="48"/>
  <c r="D19" i="35"/>
  <c r="E21" i="55" s="1"/>
  <c r="E21" i="35"/>
  <c r="F23" i="55" s="1"/>
  <c r="AB103" i="75"/>
  <c r="AA102" i="75"/>
  <c r="P101" i="75"/>
  <c r="O39" i="75"/>
  <c r="O109" i="75"/>
  <c r="O37" i="75" s="1"/>
  <c r="P20" i="20"/>
  <c r="P36" i="20"/>
  <c r="G84" i="55"/>
  <c r="G117" i="55"/>
  <c r="K4" i="35"/>
  <c r="L6" i="55" s="1"/>
  <c r="N41" i="75"/>
  <c r="D135" i="75"/>
  <c r="O35" i="38"/>
  <c r="Q35" i="38" s="1"/>
  <c r="S36" i="38"/>
  <c r="O36" i="38" s="1"/>
  <c r="AB14" i="74"/>
  <c r="AB13" i="74" s="1"/>
  <c r="AB11" i="74" s="1"/>
  <c r="AB19" i="74" s="1"/>
  <c r="AC12" i="74"/>
  <c r="AH38" i="59"/>
  <c r="G18" i="35"/>
  <c r="H20" i="55" s="1"/>
  <c r="O31" i="59"/>
  <c r="P67" i="59"/>
  <c r="Q67" i="59" s="1"/>
  <c r="O75" i="59"/>
  <c r="O29" i="59" s="1"/>
  <c r="E87" i="55"/>
  <c r="E120" i="55"/>
  <c r="N33" i="59"/>
  <c r="G3" i="50" s="1"/>
  <c r="AK137" i="48"/>
  <c r="AJ25" i="48"/>
  <c r="AJ21" i="48" s="1"/>
  <c r="J20" i="35" s="1"/>
  <c r="K22" i="55" s="1"/>
  <c r="M94" i="59"/>
  <c r="M96" i="59"/>
  <c r="AK12" i="30"/>
  <c r="AJ11" i="30"/>
  <c r="AJ46" i="30" s="1"/>
  <c r="J6" i="35" s="1"/>
  <c r="K8" i="55" s="1"/>
  <c r="AG29" i="48"/>
  <c r="AD85" i="75"/>
  <c r="AE85" i="75" s="1"/>
  <c r="AF85" i="75" s="1"/>
  <c r="AG85" i="75" s="1"/>
  <c r="AC24" i="75"/>
  <c r="AC34" i="75"/>
  <c r="AC99" i="75" s="1"/>
  <c r="J105" i="55"/>
  <c r="J72" i="55"/>
  <c r="R15" i="26"/>
  <c r="R20" i="26" s="1"/>
  <c r="R78" i="26" s="1"/>
  <c r="R76" i="26"/>
  <c r="R73" i="26" s="1"/>
  <c r="S28" i="26"/>
  <c r="R27" i="26"/>
  <c r="J119" i="55"/>
  <c r="J86" i="55"/>
  <c r="F68" i="55"/>
  <c r="F101" i="55"/>
  <c r="AB28" i="75"/>
  <c r="AB26" i="75" s="1"/>
  <c r="J111" i="55"/>
  <c r="J78" i="55"/>
  <c r="AI26" i="59"/>
  <c r="AI65" i="59" s="1"/>
  <c r="AE28" i="48"/>
  <c r="E19" i="35"/>
  <c r="F21" i="55" s="1"/>
  <c r="AB68" i="59"/>
  <c r="AC69" i="59"/>
  <c r="AK10" i="33"/>
  <c r="J12" i="35"/>
  <c r="K14" i="55" s="1"/>
  <c r="AJ17" i="59"/>
  <c r="AF30" i="48"/>
  <c r="AG13" i="48"/>
  <c r="AG9" i="48" s="1"/>
  <c r="Q20" i="26"/>
  <c r="Q78" i="26" s="1"/>
  <c r="Q73" i="26" s="1"/>
  <c r="AE104" i="75"/>
  <c r="AE106" i="75" s="1"/>
  <c r="AE105" i="75" s="1"/>
  <c r="AL138" i="48"/>
  <c r="AK26" i="48"/>
  <c r="AK13" i="30"/>
  <c r="AL17" i="30"/>
  <c r="AG78" i="26"/>
  <c r="AG73" i="26" s="1"/>
  <c r="AH20" i="26"/>
  <c r="AG11" i="26"/>
  <c r="J74" i="55"/>
  <c r="J107" i="55"/>
  <c r="Y17" i="20"/>
  <c r="Y15" i="20"/>
  <c r="Y18" i="20" s="1"/>
  <c r="K103" i="55"/>
  <c r="K70" i="55"/>
  <c r="O36" i="20"/>
  <c r="O20" i="20"/>
  <c r="AL35" i="20" l="1"/>
  <c r="AM35" i="20" s="1"/>
  <c r="AN35" i="20" s="1"/>
  <c r="K5" i="35"/>
  <c r="L7" i="55" s="1"/>
  <c r="K71" i="55"/>
  <c r="K104" i="55"/>
  <c r="AK14" i="59"/>
  <c r="K8" i="35"/>
  <c r="L10" i="55" s="1"/>
  <c r="K119" i="55"/>
  <c r="K86" i="55"/>
  <c r="AF104" i="75"/>
  <c r="AF106" i="75" s="1"/>
  <c r="AF105" i="75" s="1"/>
  <c r="Q57" i="20"/>
  <c r="Q58" i="20" s="1"/>
  <c r="J2" i="50"/>
  <c r="AG28" i="48"/>
  <c r="G19" i="35"/>
  <c r="H21" i="55" s="1"/>
  <c r="AL70" i="59"/>
  <c r="AL72" i="59" s="1"/>
  <c r="AL71" i="59" s="1"/>
  <c r="AK29" i="48"/>
  <c r="P31" i="59"/>
  <c r="P33" i="59" s="1"/>
  <c r="I3" i="50" s="1"/>
  <c r="P75" i="59"/>
  <c r="P29" i="59" s="1"/>
  <c r="O33" i="59"/>
  <c r="H3" i="50" s="1"/>
  <c r="AM13" i="25"/>
  <c r="AL15" i="25"/>
  <c r="AL14" i="25" s="1"/>
  <c r="AL11" i="25"/>
  <c r="AL20" i="25" s="1"/>
  <c r="AL14" i="59" s="1"/>
  <c r="AH29" i="48"/>
  <c r="AH78" i="26"/>
  <c r="AH73" i="26" s="1"/>
  <c r="AI20" i="26"/>
  <c r="AH11" i="26"/>
  <c r="K72" i="55"/>
  <c r="K105" i="55"/>
  <c r="G2" i="35"/>
  <c r="H4" i="55" s="1"/>
  <c r="AG57" i="20"/>
  <c r="AG58" i="20" s="1"/>
  <c r="AL12" i="30"/>
  <c r="AK11" i="30"/>
  <c r="AK46" i="30" s="1"/>
  <c r="K6" i="35" s="1"/>
  <c r="L8" i="55" s="1"/>
  <c r="G68" i="55"/>
  <c r="G101" i="55"/>
  <c r="AD69" i="59"/>
  <c r="AC68" i="59"/>
  <c r="H117" i="55"/>
  <c r="H84" i="55"/>
  <c r="AM138" i="48"/>
  <c r="AL26" i="48"/>
  <c r="S15" i="26"/>
  <c r="S76" i="26"/>
  <c r="T28" i="26"/>
  <c r="S27" i="26"/>
  <c r="AI38" i="59"/>
  <c r="H18" i="35"/>
  <c r="I20" i="55" s="1"/>
  <c r="AC103" i="75"/>
  <c r="AB102" i="75"/>
  <c r="K111" i="55"/>
  <c r="K78" i="55"/>
  <c r="AB56" i="70"/>
  <c r="AA16" i="20"/>
  <c r="AL10" i="33"/>
  <c r="K12" i="35"/>
  <c r="L14" i="55" s="1"/>
  <c r="AK17" i="59"/>
  <c r="R57" i="20"/>
  <c r="R58" i="20" s="1"/>
  <c r="K2" i="50"/>
  <c r="AC14" i="74"/>
  <c r="AC13" i="74" s="1"/>
  <c r="AC11" i="74" s="1"/>
  <c r="AC19" i="74" s="1"/>
  <c r="F120" i="55"/>
  <c r="F87" i="55"/>
  <c r="L103" i="55"/>
  <c r="L70" i="55"/>
  <c r="AM17" i="30"/>
  <c r="AL13" i="30"/>
  <c r="F118" i="55"/>
  <c r="F85" i="55"/>
  <c r="F21" i="35"/>
  <c r="G23" i="55" s="1"/>
  <c r="G87" i="55" s="1"/>
  <c r="AM136" i="48"/>
  <c r="AL23" i="48"/>
  <c r="AJ26" i="59"/>
  <c r="AJ65" i="59" s="1"/>
  <c r="AL137" i="48"/>
  <c r="AK25" i="48"/>
  <c r="AK21" i="48" s="1"/>
  <c r="K20" i="35" s="1"/>
  <c r="L22" i="55" s="1"/>
  <c r="E118" i="55"/>
  <c r="E85" i="55"/>
  <c r="Q36" i="38"/>
  <c r="Q46" i="38" s="1"/>
  <c r="Q47" i="38" s="1"/>
  <c r="O46" i="38"/>
  <c r="O47" i="38" s="1"/>
  <c r="AF28" i="48"/>
  <c r="F19" i="35"/>
  <c r="G21" i="55" s="1"/>
  <c r="AG30" i="48"/>
  <c r="AH13" i="48"/>
  <c r="AH9" i="48" s="1"/>
  <c r="AC28" i="75"/>
  <c r="AC26" i="75" s="1"/>
  <c r="O41" i="75"/>
  <c r="K107" i="55"/>
  <c r="K74" i="55"/>
  <c r="Q101" i="75"/>
  <c r="P39" i="75"/>
  <c r="P109" i="75"/>
  <c r="P37" i="75" s="1"/>
  <c r="Z17" i="20"/>
  <c r="Z15" i="20"/>
  <c r="Z18" i="20" s="1"/>
  <c r="L71" i="55" l="1"/>
  <c r="L104" i="55"/>
  <c r="L119" i="55"/>
  <c r="L86" i="55"/>
  <c r="AM70" i="59"/>
  <c r="AM72" i="59" s="1"/>
  <c r="AM71" i="59" s="1"/>
  <c r="N93" i="59" s="1"/>
  <c r="AH28" i="48"/>
  <c r="H19" i="35"/>
  <c r="I21" i="55" s="1"/>
  <c r="G118" i="55"/>
  <c r="G85" i="55"/>
  <c r="P41" i="75"/>
  <c r="AC56" i="70"/>
  <c r="AB16" i="20"/>
  <c r="G120" i="55"/>
  <c r="AC102" i="75"/>
  <c r="AD103" i="75"/>
  <c r="Q39" i="75"/>
  <c r="Q41" i="75" s="1"/>
  <c r="R101" i="75"/>
  <c r="Q109" i="75"/>
  <c r="Q37" i="75" s="1"/>
  <c r="AJ38" i="59"/>
  <c r="I18" i="35"/>
  <c r="J20" i="55" s="1"/>
  <c r="H118" i="55"/>
  <c r="H85" i="55"/>
  <c r="L72" i="55"/>
  <c r="L105" i="55"/>
  <c r="AN13" i="25"/>
  <c r="AM15" i="25"/>
  <c r="AM14" i="25" s="1"/>
  <c r="AM11" i="25"/>
  <c r="AM20" i="25" s="1"/>
  <c r="AM14" i="59" s="1"/>
  <c r="T76" i="26"/>
  <c r="T73" i="26" s="1"/>
  <c r="T15" i="26"/>
  <c r="T20" i="26" s="1"/>
  <c r="T78" i="26" s="1"/>
  <c r="U28" i="26"/>
  <c r="T27" i="26"/>
  <c r="AM12" i="30"/>
  <c r="AL11" i="30"/>
  <c r="AL46" i="30" s="1"/>
  <c r="R20" i="20"/>
  <c r="R36" i="20"/>
  <c r="S73" i="26"/>
  <c r="S20" i="26"/>
  <c r="S78" i="26" s="1"/>
  <c r="H68" i="55"/>
  <c r="H101" i="55"/>
  <c r="Q20" i="20"/>
  <c r="Q36" i="20"/>
  <c r="AM137" i="48"/>
  <c r="AL25" i="48"/>
  <c r="AL21" i="48" s="1"/>
  <c r="AK26" i="59"/>
  <c r="AK65" i="59" s="1"/>
  <c r="L111" i="55"/>
  <c r="L78" i="55"/>
  <c r="AN17" i="30"/>
  <c r="AN13" i="30" s="1"/>
  <c r="AM13" i="30"/>
  <c r="AM10" i="33"/>
  <c r="K22" i="33" s="1"/>
  <c r="AL17" i="59"/>
  <c r="AN138" i="48"/>
  <c r="AN26" i="48" s="1"/>
  <c r="AM26" i="48"/>
  <c r="AH30" i="48"/>
  <c r="AI13" i="48"/>
  <c r="AI9" i="48" s="1"/>
  <c r="AA17" i="20"/>
  <c r="AA15" i="20"/>
  <c r="AA18" i="20" s="1"/>
  <c r="R67" i="59"/>
  <c r="Q31" i="59"/>
  <c r="Q75" i="59"/>
  <c r="Q29" i="59" s="1"/>
  <c r="I117" i="55"/>
  <c r="I84" i="55"/>
  <c r="AN136" i="48"/>
  <c r="AN23" i="48" s="1"/>
  <c r="AM23" i="48"/>
  <c r="AI78" i="26"/>
  <c r="AI73" i="26" s="1"/>
  <c r="AJ20" i="26"/>
  <c r="AI11" i="26"/>
  <c r="AH57" i="20"/>
  <c r="AH58" i="20" s="1"/>
  <c r="H2" i="35"/>
  <c r="I4" i="55" s="1"/>
  <c r="AL29" i="48"/>
  <c r="L74" i="55"/>
  <c r="L107" i="55"/>
  <c r="G21" i="35"/>
  <c r="H23" i="55" s="1"/>
  <c r="AE69" i="59"/>
  <c r="AI29" i="48"/>
  <c r="Q33" i="59" l="1"/>
  <c r="J3" i="50" s="1"/>
  <c r="AI57" i="20"/>
  <c r="AI58" i="20" s="1"/>
  <c r="I2" i="35"/>
  <c r="J4" i="55" s="1"/>
  <c r="AD56" i="70"/>
  <c r="AC16" i="20"/>
  <c r="T57" i="20"/>
  <c r="T58" i="20" s="1"/>
  <c r="M2" i="50"/>
  <c r="AF69" i="59"/>
  <c r="AE68" i="59"/>
  <c r="S101" i="75"/>
  <c r="R39" i="75"/>
  <c r="R109" i="75"/>
  <c r="R37" i="75" s="1"/>
  <c r="AD102" i="75"/>
  <c r="AE103" i="75"/>
  <c r="H21" i="35"/>
  <c r="I23" i="55" s="1"/>
  <c r="AN15" i="25"/>
  <c r="AN14" i="25" s="1"/>
  <c r="AN11" i="25"/>
  <c r="AN20" i="25" s="1"/>
  <c r="AN14" i="59" s="1"/>
  <c r="H120" i="55"/>
  <c r="H87" i="55"/>
  <c r="S57" i="20"/>
  <c r="S58" i="20" s="1"/>
  <c r="L2" i="50"/>
  <c r="I118" i="55"/>
  <c r="I85" i="55"/>
  <c r="N94" i="59"/>
  <c r="N96" i="59"/>
  <c r="AL26" i="59"/>
  <c r="AL65" i="59" s="1"/>
  <c r="I101" i="55"/>
  <c r="I68" i="55"/>
  <c r="AN70" i="59"/>
  <c r="AN72" i="59" s="1"/>
  <c r="AN71" i="59" s="1"/>
  <c r="AI30" i="48"/>
  <c r="AJ13" i="48"/>
  <c r="AJ9" i="48" s="1"/>
  <c r="AN12" i="30"/>
  <c r="AN11" i="30" s="1"/>
  <c r="AN46" i="30" s="1"/>
  <c r="AM11" i="30"/>
  <c r="AM46" i="30" s="1"/>
  <c r="J84" i="55"/>
  <c r="J117" i="55"/>
  <c r="S67" i="59"/>
  <c r="R31" i="59"/>
  <c r="R75" i="59"/>
  <c r="R29" i="59" s="1"/>
  <c r="AN137" i="48"/>
  <c r="AN25" i="48" s="1"/>
  <c r="AN21" i="48" s="1"/>
  <c r="AM25" i="48"/>
  <c r="AM21" i="48" s="1"/>
  <c r="AK38" i="59"/>
  <c r="J18" i="35"/>
  <c r="K20" i="55" s="1"/>
  <c r="AM17" i="59"/>
  <c r="AN10" i="33"/>
  <c r="AN17" i="59" s="1"/>
  <c r="AM29" i="48"/>
  <c r="AI28" i="48"/>
  <c r="I19" i="35"/>
  <c r="J21" i="55" s="1"/>
  <c r="AJ29" i="48"/>
  <c r="AJ78" i="26"/>
  <c r="AJ73" i="26" s="1"/>
  <c r="AK20" i="26"/>
  <c r="AJ11" i="26"/>
  <c r="U76" i="26"/>
  <c r="U15" i="26"/>
  <c r="V28" i="26"/>
  <c r="U27" i="26"/>
  <c r="AB17" i="20"/>
  <c r="AB15" i="20"/>
  <c r="AB18" i="20" s="1"/>
  <c r="R41" i="75" l="1"/>
  <c r="T101" i="75"/>
  <c r="S39" i="75"/>
  <c r="S109" i="75"/>
  <c r="S37" i="75" s="1"/>
  <c r="AL20" i="26"/>
  <c r="AK78" i="26"/>
  <c r="AK73" i="26" s="1"/>
  <c r="AK11" i="26"/>
  <c r="AM26" i="59"/>
  <c r="AN26" i="59"/>
  <c r="AN65" i="59" s="1"/>
  <c r="R33" i="59"/>
  <c r="K3" i="50" s="1"/>
  <c r="S20" i="20"/>
  <c r="S36" i="20"/>
  <c r="AJ57" i="20"/>
  <c r="AJ58" i="20" s="1"/>
  <c r="J2" i="35"/>
  <c r="K4" i="55" s="1"/>
  <c r="AJ28" i="48"/>
  <c r="J19" i="35"/>
  <c r="K21" i="55" s="1"/>
  <c r="T67" i="59"/>
  <c r="S31" i="59"/>
  <c r="S75" i="59"/>
  <c r="S29" i="59" s="1"/>
  <c r="J85" i="55"/>
  <c r="J118" i="55"/>
  <c r="AG69" i="59"/>
  <c r="AF68" i="59"/>
  <c r="I120" i="55"/>
  <c r="I87" i="55"/>
  <c r="T20" i="20"/>
  <c r="T36" i="20"/>
  <c r="AN29" i="48"/>
  <c r="AF103" i="75"/>
  <c r="AF102" i="75" s="1"/>
  <c r="AE102" i="75"/>
  <c r="AC17" i="20"/>
  <c r="AC15" i="20"/>
  <c r="AC18" i="20" s="1"/>
  <c r="I21" i="35"/>
  <c r="J23" i="55" s="1"/>
  <c r="AJ30" i="48"/>
  <c r="AK13" i="48"/>
  <c r="AE56" i="70"/>
  <c r="AD16" i="20"/>
  <c r="J68" i="55"/>
  <c r="J101" i="55"/>
  <c r="W28" i="26"/>
  <c r="V15" i="26"/>
  <c r="V20" i="26" s="1"/>
  <c r="V78" i="26" s="1"/>
  <c r="V76" i="26"/>
  <c r="V27" i="26"/>
  <c r="U20" i="26"/>
  <c r="U78" i="26" s="1"/>
  <c r="U73" i="26" s="1"/>
  <c r="K117" i="55"/>
  <c r="K84" i="55"/>
  <c r="AL38" i="59"/>
  <c r="AM38" i="59" s="1"/>
  <c r="AN38" i="59" s="1"/>
  <c r="K18" i="35"/>
  <c r="L20" i="55" s="1"/>
  <c r="U57" i="20" l="1"/>
  <c r="U58" i="20" s="1"/>
  <c r="N2" i="50"/>
  <c r="AK30" i="48"/>
  <c r="AL13" i="48"/>
  <c r="AK9" i="48"/>
  <c r="AH69" i="59"/>
  <c r="AG68" i="59"/>
  <c r="J120" i="55"/>
  <c r="J87" i="55"/>
  <c r="AM65" i="59"/>
  <c r="J21" i="35"/>
  <c r="K23" i="55" s="1"/>
  <c r="V73" i="26"/>
  <c r="K2" i="35"/>
  <c r="L4" i="55" s="1"/>
  <c r="AK57" i="20"/>
  <c r="AK58" i="20" s="1"/>
  <c r="W76" i="26"/>
  <c r="W73" i="26" s="1"/>
  <c r="X28" i="26"/>
  <c r="W27" i="26"/>
  <c r="W15" i="26"/>
  <c r="W20" i="26" s="1"/>
  <c r="W78" i="26" s="1"/>
  <c r="S33" i="59"/>
  <c r="L3" i="50" s="1"/>
  <c r="AM20" i="26"/>
  <c r="AL78" i="26"/>
  <c r="AL73" i="26" s="1"/>
  <c r="AL57" i="20" s="1"/>
  <c r="AL58" i="20" s="1"/>
  <c r="AL11" i="26"/>
  <c r="T31" i="59"/>
  <c r="U67" i="59"/>
  <c r="T75" i="59"/>
  <c r="T29" i="59" s="1"/>
  <c r="K118" i="55"/>
  <c r="K85" i="55"/>
  <c r="S41" i="75"/>
  <c r="L117" i="55"/>
  <c r="L84" i="55"/>
  <c r="U101" i="75"/>
  <c r="T39" i="75"/>
  <c r="T109" i="75"/>
  <c r="T37" i="75" s="1"/>
  <c r="K101" i="55"/>
  <c r="K68" i="55"/>
  <c r="E135" i="75"/>
  <c r="AD17" i="20"/>
  <c r="AD15" i="20"/>
  <c r="AD18" i="20" s="1"/>
  <c r="AF56" i="70"/>
  <c r="AE16" i="20"/>
  <c r="U31" i="59" l="1"/>
  <c r="V67" i="59"/>
  <c r="U75" i="59"/>
  <c r="U29" i="59" s="1"/>
  <c r="T33" i="59"/>
  <c r="M3" i="50" s="1"/>
  <c r="W57" i="20"/>
  <c r="W58" i="20" s="1"/>
  <c r="P2" i="50"/>
  <c r="AN20" i="26"/>
  <c r="AM78" i="26"/>
  <c r="AM73" i="26" s="1"/>
  <c r="AM57" i="20" s="1"/>
  <c r="AM58" i="20" s="1"/>
  <c r="AM11" i="26"/>
  <c r="K87" i="55"/>
  <c r="K120" i="55"/>
  <c r="K21" i="35"/>
  <c r="L23" i="55" s="1"/>
  <c r="T41" i="75"/>
  <c r="AI69" i="59"/>
  <c r="AH68" i="59"/>
  <c r="AK28" i="48"/>
  <c r="K19" i="35"/>
  <c r="L21" i="55" s="1"/>
  <c r="V101" i="75"/>
  <c r="U39" i="75"/>
  <c r="U41" i="75" s="1"/>
  <c r="U109" i="75"/>
  <c r="U37" i="75" s="1"/>
  <c r="X76" i="26"/>
  <c r="X27" i="26"/>
  <c r="AO27" i="26" s="1"/>
  <c r="X15" i="26"/>
  <c r="AO28" i="26"/>
  <c r="AP15" i="26" s="1"/>
  <c r="AM13" i="48"/>
  <c r="AL30" i="48"/>
  <c r="AL9" i="48"/>
  <c r="AL28" i="48" s="1"/>
  <c r="L68" i="55"/>
  <c r="L101" i="55"/>
  <c r="AE17" i="20"/>
  <c r="AE15" i="20"/>
  <c r="AE18" i="20" s="1"/>
  <c r="AG56" i="70"/>
  <c r="AF16" i="20"/>
  <c r="V57" i="20"/>
  <c r="V58" i="20" s="1"/>
  <c r="O2" i="50"/>
  <c r="U20" i="20"/>
  <c r="U36" i="20"/>
  <c r="L120" i="55" l="1"/>
  <c r="L87" i="55"/>
  <c r="AN13" i="48"/>
  <c r="AM30" i="48"/>
  <c r="AM9" i="48"/>
  <c r="AM28" i="48" s="1"/>
  <c r="X20" i="26"/>
  <c r="X78" i="26" s="1"/>
  <c r="AO15" i="26"/>
  <c r="AF17" i="20"/>
  <c r="AF15" i="20"/>
  <c r="AF18" i="20" s="1"/>
  <c r="X73" i="26"/>
  <c r="AH56" i="70"/>
  <c r="AG16" i="20"/>
  <c r="V20" i="20"/>
  <c r="V36" i="20"/>
  <c r="AN78" i="26"/>
  <c r="AN73" i="26" s="1"/>
  <c r="AN57" i="20" s="1"/>
  <c r="AN58" i="20" s="1"/>
  <c r="AN11" i="26"/>
  <c r="V39" i="75"/>
  <c r="W101" i="75"/>
  <c r="V109" i="75"/>
  <c r="W36" i="20"/>
  <c r="W20" i="20"/>
  <c r="L85" i="55"/>
  <c r="L118" i="55"/>
  <c r="AJ69" i="59"/>
  <c r="AI68" i="59"/>
  <c r="V31" i="59"/>
  <c r="W67" i="59"/>
  <c r="V75" i="59"/>
  <c r="V29" i="59" s="1"/>
  <c r="U33" i="59"/>
  <c r="N3" i="50" s="1"/>
  <c r="AG17" i="20" l="1"/>
  <c r="AG15" i="20"/>
  <c r="AG18" i="20" s="1"/>
  <c r="AI56" i="70"/>
  <c r="AH16" i="20"/>
  <c r="AJ68" i="59"/>
  <c r="AK69" i="59"/>
  <c r="X57" i="20"/>
  <c r="X58" i="20" s="1"/>
  <c r="Q2" i="50"/>
  <c r="W31" i="59"/>
  <c r="X67" i="59"/>
  <c r="W75" i="59"/>
  <c r="W29" i="59" s="1"/>
  <c r="V37" i="75"/>
  <c r="V43" i="75" s="1"/>
  <c r="W109" i="75"/>
  <c r="V41" i="75"/>
  <c r="AN30" i="48"/>
  <c r="AN9" i="48"/>
  <c r="AN28" i="48" s="1"/>
  <c r="V33" i="59"/>
  <c r="O3" i="50" s="1"/>
  <c r="W39" i="75"/>
  <c r="X101" i="75"/>
  <c r="F135" i="75"/>
  <c r="W33" i="59" l="1"/>
  <c r="P3" i="50" s="1"/>
  <c r="X109" i="75"/>
  <c r="W37" i="75"/>
  <c r="W12" i="75" s="1"/>
  <c r="F133" i="75" s="1"/>
  <c r="F137" i="75" s="1"/>
  <c r="Y101" i="75"/>
  <c r="X39" i="75"/>
  <c r="X20" i="20"/>
  <c r="X36" i="20"/>
  <c r="AK68" i="59"/>
  <c r="AL69" i="59"/>
  <c r="AH17" i="20"/>
  <c r="AH15" i="20"/>
  <c r="AH18" i="20" s="1"/>
  <c r="AJ56" i="70"/>
  <c r="AI16" i="20"/>
  <c r="V52" i="75"/>
  <c r="Y67" i="59"/>
  <c r="X31" i="59"/>
  <c r="X75" i="59"/>
  <c r="X29" i="59" s="1"/>
  <c r="W41" i="75"/>
  <c r="AI17" i="20" l="1"/>
  <c r="AI15" i="20"/>
  <c r="AI18" i="20" s="1"/>
  <c r="AL68" i="59"/>
  <c r="AM69" i="59"/>
  <c r="Y31" i="59"/>
  <c r="Z67" i="59"/>
  <c r="Y75" i="59"/>
  <c r="Y29" i="59" s="1"/>
  <c r="X41" i="75"/>
  <c r="Z101" i="75"/>
  <c r="Y39" i="75"/>
  <c r="AK56" i="70"/>
  <c r="AJ16" i="20"/>
  <c r="X33" i="59"/>
  <c r="Q3" i="50" s="1"/>
  <c r="Y109" i="75"/>
  <c r="X37" i="75"/>
  <c r="X12" i="75" s="1"/>
  <c r="Z31" i="59" l="1"/>
  <c r="AA67" i="59"/>
  <c r="Z75" i="59"/>
  <c r="Z29" i="59" s="1"/>
  <c r="Y33" i="59"/>
  <c r="R3" i="50" s="1"/>
  <c r="Z39" i="75"/>
  <c r="AA101" i="75"/>
  <c r="AM68" i="59"/>
  <c r="AN69" i="59"/>
  <c r="AN68" i="59" s="1"/>
  <c r="AL56" i="70"/>
  <c r="AK16" i="20"/>
  <c r="AJ17" i="20"/>
  <c r="AJ15" i="20"/>
  <c r="AJ18" i="20" s="1"/>
  <c r="Y37" i="75"/>
  <c r="Y12" i="75" s="1"/>
  <c r="Z109" i="75"/>
  <c r="AA39" i="75" l="1"/>
  <c r="AB101" i="75"/>
  <c r="Y41" i="75"/>
  <c r="AM56" i="70"/>
  <c r="AL16" i="20"/>
  <c r="Z37" i="75"/>
  <c r="Z12" i="75" s="1"/>
  <c r="AA109" i="75"/>
  <c r="AK17" i="20"/>
  <c r="AK15" i="20"/>
  <c r="AK18" i="20" s="1"/>
  <c r="AA31" i="59"/>
  <c r="AB67" i="59"/>
  <c r="AA75" i="59"/>
  <c r="AA29" i="59" s="1"/>
  <c r="Z33" i="59"/>
  <c r="S3" i="50" s="1"/>
  <c r="AA33" i="59" l="1"/>
  <c r="T3" i="50" s="1"/>
  <c r="AA37" i="75"/>
  <c r="AB109" i="75"/>
  <c r="AN56" i="70"/>
  <c r="AN16" i="20" s="1"/>
  <c r="AM16" i="20"/>
  <c r="AB31" i="59"/>
  <c r="AB75" i="59"/>
  <c r="AB29" i="59" s="1"/>
  <c r="Z41" i="75"/>
  <c r="G133" i="75"/>
  <c r="G137" i="75" s="1"/>
  <c r="AB39" i="75"/>
  <c r="AC101" i="75"/>
  <c r="AL17" i="20"/>
  <c r="AL15" i="20"/>
  <c r="AL18" i="20" s="1"/>
  <c r="AA41" i="75"/>
  <c r="AA12" i="75"/>
  <c r="G135" i="75"/>
  <c r="AD101" i="75" l="1"/>
  <c r="AE101" i="75" s="1"/>
  <c r="AF101" i="75" s="1"/>
  <c r="AC39" i="75"/>
  <c r="AM17" i="20"/>
  <c r="AM15" i="20"/>
  <c r="AM18" i="20" s="1"/>
  <c r="AN17" i="20"/>
  <c r="AN15" i="20"/>
  <c r="AB12" i="75"/>
  <c r="AC109" i="75"/>
  <c r="AB37" i="75"/>
  <c r="AB41" i="75" s="1"/>
  <c r="AC75" i="59"/>
  <c r="AB33" i="59"/>
  <c r="U3" i="50" s="1"/>
  <c r="AN18" i="20" l="1"/>
  <c r="AD75" i="59"/>
  <c r="AC29" i="59"/>
  <c r="AC33" i="59" s="1"/>
  <c r="AD109" i="75"/>
  <c r="AE109" i="75" s="1"/>
  <c r="AF109" i="75" s="1"/>
  <c r="AC37" i="75"/>
  <c r="AC12" i="75" s="1"/>
  <c r="AE67" i="59"/>
  <c r="AD31" i="59"/>
  <c r="AC41" i="75"/>
  <c r="AF67" i="59" l="1"/>
  <c r="AE31" i="59"/>
  <c r="C17" i="35"/>
  <c r="D19" i="55" s="1"/>
  <c r="V3" i="50"/>
  <c r="AE75" i="59"/>
  <c r="AD29" i="59"/>
  <c r="AD12" i="59" s="1"/>
  <c r="AF75" i="59" l="1"/>
  <c r="AE29" i="59"/>
  <c r="AE12" i="59" s="1"/>
  <c r="D116" i="55"/>
  <c r="D83" i="55"/>
  <c r="AG67" i="59"/>
  <c r="AF31" i="59"/>
  <c r="AD33" i="59"/>
  <c r="D17" i="35" s="1"/>
  <c r="E19" i="55" s="1"/>
  <c r="AE33" i="59" l="1"/>
  <c r="E17" i="35" s="1"/>
  <c r="F19" i="55" s="1"/>
  <c r="F116" i="55" s="1"/>
  <c r="E116" i="55"/>
  <c r="E83" i="55"/>
  <c r="AH67" i="59"/>
  <c r="AG31" i="59"/>
  <c r="AG75" i="59"/>
  <c r="AF29" i="59"/>
  <c r="F17" i="35" s="1"/>
  <c r="G19" i="55" s="1"/>
  <c r="G83" i="55" s="1"/>
  <c r="F83" i="55" l="1"/>
  <c r="G116" i="55"/>
  <c r="AH75" i="59"/>
  <c r="AG29" i="59"/>
  <c r="AG12" i="59" s="1"/>
  <c r="AI67" i="59"/>
  <c r="AH31" i="59"/>
  <c r="AF12" i="59"/>
  <c r="AJ67" i="59" l="1"/>
  <c r="AI31" i="59"/>
  <c r="AH29" i="59"/>
  <c r="AH12" i="59" s="1"/>
  <c r="AI75" i="59"/>
  <c r="AG33" i="59"/>
  <c r="G17" i="35" s="1"/>
  <c r="H19" i="55" s="1"/>
  <c r="H116" i="55" l="1"/>
  <c r="H83" i="55"/>
  <c r="AI29" i="59"/>
  <c r="AI12" i="59" s="1"/>
  <c r="AJ75" i="59"/>
  <c r="AK67" i="59"/>
  <c r="AJ31" i="59"/>
  <c r="AH33" i="59"/>
  <c r="H17" i="35" s="1"/>
  <c r="I19" i="55" s="1"/>
  <c r="AI33" i="59" l="1"/>
  <c r="I17" i="35" s="1"/>
  <c r="J19" i="55" s="1"/>
  <c r="J83" i="55" s="1"/>
  <c r="I83" i="55"/>
  <c r="I116" i="55"/>
  <c r="AK75" i="59"/>
  <c r="AJ29" i="59"/>
  <c r="AJ12" i="59" s="1"/>
  <c r="AK31" i="59"/>
  <c r="AL67" i="59"/>
  <c r="J116" i="55" l="1"/>
  <c r="AL75" i="59"/>
  <c r="AK29" i="59"/>
  <c r="AK12" i="59" s="1"/>
  <c r="AM67" i="59"/>
  <c r="AL31" i="59"/>
  <c r="AJ33" i="59"/>
  <c r="J17" i="35" s="1"/>
  <c r="K19" i="55" s="1"/>
  <c r="AK33" i="59" l="1"/>
  <c r="K17" i="35" s="1"/>
  <c r="L19" i="55" s="1"/>
  <c r="L83" i="55" s="1"/>
  <c r="AM31" i="59"/>
  <c r="AN67" i="59"/>
  <c r="AN31" i="59" s="1"/>
  <c r="K116" i="55"/>
  <c r="K83" i="55"/>
  <c r="AM75" i="59"/>
  <c r="AL29" i="59"/>
  <c r="AL33" i="59" s="1"/>
  <c r="L116" i="55" l="1"/>
  <c r="AL12" i="59"/>
  <c r="AN75" i="59"/>
  <c r="AN29" i="59" s="1"/>
  <c r="AN12" i="59" s="1"/>
  <c r="AM29" i="59"/>
  <c r="AM33" i="59" s="1"/>
  <c r="AN33" i="59"/>
  <c r="AM12" i="59"/>
  <c r="AH13" i="49" l="1"/>
  <c r="I22" i="49" l="1"/>
  <c r="J23" i="49" s="1"/>
  <c r="AJ13" i="49"/>
  <c r="AK13" i="49"/>
  <c r="AI13" i="49"/>
  <c r="D11" i="35"/>
  <c r="I23" i="49" l="1"/>
  <c r="AD37" i="59"/>
  <c r="AD32" i="49"/>
  <c r="AD33" i="49" s="1"/>
  <c r="AL32" i="80"/>
  <c r="E13" i="55"/>
  <c r="AE30" i="49"/>
  <c r="AF30" i="49" s="1"/>
  <c r="AD10" i="26" l="1"/>
  <c r="AD9" i="26" s="1"/>
  <c r="D10" i="35"/>
  <c r="E12" i="55" s="1"/>
  <c r="E76" i="55" s="1"/>
  <c r="AE32" i="49"/>
  <c r="AE33" i="49" s="1"/>
  <c r="AE37" i="59"/>
  <c r="E11" i="35"/>
  <c r="F13" i="55" s="1"/>
  <c r="E110" i="55"/>
  <c r="E77" i="55"/>
  <c r="E109" i="55" l="1"/>
  <c r="F77" i="55"/>
  <c r="F110" i="55"/>
  <c r="E10" i="35"/>
  <c r="F12" i="55" s="1"/>
  <c r="AE10" i="26"/>
  <c r="AE9" i="26" s="1"/>
  <c r="AF37" i="59"/>
  <c r="AG30" i="49"/>
  <c r="AF32" i="49"/>
  <c r="F11" i="35"/>
  <c r="G13" i="55" s="1"/>
  <c r="G77" i="55" l="1"/>
  <c r="G110" i="55"/>
  <c r="G11" i="35"/>
  <c r="H13" i="55" s="1"/>
  <c r="AH30" i="49"/>
  <c r="AG32" i="49"/>
  <c r="AG33" i="49" s="1"/>
  <c r="AG37" i="59"/>
  <c r="AF10" i="26"/>
  <c r="AF9" i="26" s="1"/>
  <c r="F10" i="35"/>
  <c r="G12" i="55" s="1"/>
  <c r="G76" i="55" s="1"/>
  <c r="AF33" i="49"/>
  <c r="F109" i="55"/>
  <c r="F76" i="55"/>
  <c r="G109" i="55" l="1"/>
  <c r="G10" i="35"/>
  <c r="H12" i="55" s="1"/>
  <c r="AG10" i="26"/>
  <c r="AG9" i="26" s="1"/>
  <c r="H11" i="35"/>
  <c r="I13" i="55" s="1"/>
  <c r="AH37" i="59"/>
  <c r="AI30" i="49"/>
  <c r="AH32" i="49"/>
  <c r="H77" i="55"/>
  <c r="H110" i="55"/>
  <c r="AH10" i="26" l="1"/>
  <c r="AH9" i="26" s="1"/>
  <c r="H10" i="35"/>
  <c r="I12" i="55" s="1"/>
  <c r="I77" i="55"/>
  <c r="I110" i="55"/>
  <c r="AH33" i="49"/>
  <c r="H109" i="55"/>
  <c r="H76" i="55"/>
  <c r="I11" i="35"/>
  <c r="J13" i="55" s="1"/>
  <c r="AJ30" i="49"/>
  <c r="AK30" i="49" s="1"/>
  <c r="AI32" i="49"/>
  <c r="AI33" i="49" s="1"/>
  <c r="AI37" i="59"/>
  <c r="J11" i="35" l="1"/>
  <c r="K13" i="55" s="1"/>
  <c r="AJ37" i="59"/>
  <c r="AJ32" i="49"/>
  <c r="AJ33" i="49" s="1"/>
  <c r="J77" i="55"/>
  <c r="J110" i="55"/>
  <c r="AI10" i="26"/>
  <c r="AI9" i="26" s="1"/>
  <c r="I10" i="35"/>
  <c r="J12" i="55" s="1"/>
  <c r="I109" i="55"/>
  <c r="I76" i="55"/>
  <c r="J76" i="55" l="1"/>
  <c r="J109" i="55"/>
  <c r="AJ10" i="26"/>
  <c r="AJ9" i="26" s="1"/>
  <c r="J10" i="35"/>
  <c r="K12" i="55" s="1"/>
  <c r="AK32" i="49"/>
  <c r="AL30" i="49"/>
  <c r="AK37" i="59"/>
  <c r="K11" i="35"/>
  <c r="L13" i="55" s="1"/>
  <c r="K110" i="55"/>
  <c r="K77" i="55"/>
  <c r="L110" i="55" l="1"/>
  <c r="L77" i="55"/>
  <c r="K76" i="55"/>
  <c r="K109" i="55"/>
  <c r="K10" i="35"/>
  <c r="L12" i="55" s="1"/>
  <c r="AK10" i="26"/>
  <c r="AK9" i="26" s="1"/>
  <c r="AL37" i="59"/>
  <c r="AL32" i="49"/>
  <c r="AL10" i="26" s="1"/>
  <c r="AL9" i="26" s="1"/>
  <c r="AM30" i="49"/>
  <c r="AN30" i="49" s="1"/>
  <c r="AK33" i="49"/>
  <c r="L109" i="55" l="1"/>
  <c r="L76" i="55"/>
  <c r="AM32" i="49"/>
  <c r="AM10" i="26" s="1"/>
  <c r="AM9" i="26" s="1"/>
  <c r="AM37" i="59"/>
  <c r="AL33" i="49"/>
  <c r="AM33" i="49" l="1"/>
  <c r="AN32" i="49"/>
  <c r="AN10" i="26" s="1"/>
  <c r="AN9" i="26" s="1"/>
  <c r="AN37" i="59"/>
  <c r="AN33" i="4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tc={AA98F1E7-A035-4711-AEBA-58E888B48D84}</author>
    <author>tc={55D381E8-AD6E-4B4C-A048-C5382F102A58}</author>
    <author>tc={53CC89D8-8B16-425C-B30E-F512A29D9AD7}</author>
    <author>tc={EB5F294B-ACE2-49F6-B3CE-C95C870A3C52}</author>
    <author>tc={70B28A17-6ABC-4204-B0BC-B8BDED1FF435}</author>
    <author>tc={ED1812D8-4E46-414F-B29D-DC1DF0340043}</author>
  </authors>
  <commentList>
    <comment ref="V12" authorId="0" shapeId="0" xr:uid="{AA98F1E7-A035-4711-AEBA-58E888B48D84}">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55D381E8-AD6E-4B4C-A048-C5382F102A58}">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2" shapeId="0" xr:uid="{53CC89D8-8B16-425C-B30E-F512A29D9AD7}">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7" authorId="3" shapeId="0" xr:uid="{EB5F294B-ACE2-49F6-B3CE-C95C870A3C52}">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7" authorId="4" shapeId="0" xr:uid="{70B28A17-6ABC-4204-B0BC-B8BDED1FF435}">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8" authorId="5" shapeId="0" xr:uid="{ED1812D8-4E46-414F-B29D-DC1DF0340043}">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tc={C0F7D83F-3CBE-4E4E-AE96-B1F8B0DBFA6E}</author>
    <author>tc={97DD76CB-44D3-4CC0-8B87-F29B043C496B}</author>
    <author>tc={C3958D6E-5D0B-4757-8548-DC4AB51469BE}</author>
    <author>tc={2ED467F9-8DC5-4AF4-A29A-FF788D937EE8}</author>
    <author>tc={09188FF2-A127-4014-A01D-03DD2BF0FA2E}</author>
    <author>tc={6A9D0C8A-F9C2-4EE0-B3A9-3E7911CC1731}</author>
    <author>tc={5E6012FC-E5EC-49B2-9F3E-FF9BACB20939}</author>
  </authors>
  <commentList>
    <comment ref="V12" authorId="0" shapeId="0" xr:uid="{4B9C304D-96FE-41EF-9E62-0CD88302907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82EE6F66-A1E6-460B-AE87-4B0EC2A37501}">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V13" authorId="2" shapeId="0" xr:uid="{C0F7D83F-3CBE-4E4E-AE96-B1F8B0DBFA6E}">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3" authorId="3" shapeId="0" xr:uid="{97DD76CB-44D3-4CC0-8B87-F29B043C496B}">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4" shapeId="0" xr:uid="{C3958D6E-5D0B-4757-8548-DC4AB51469B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B18" authorId="5" shapeId="0" xr:uid="{2ED467F9-8DC5-4AF4-A29A-FF788D937EE8}">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30" authorId="6" shapeId="0" xr:uid="{09188FF2-A127-4014-A01D-03DD2BF0FA2E}">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30" authorId="7" shapeId="0" xr:uid="{6A9D0C8A-F9C2-4EE0-B3A9-3E7911CC1731}">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31" authorId="8" shapeId="0" xr:uid="{5E6012FC-E5EC-49B2-9F3E-FF9BACB20939}">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7"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7"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7"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7"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7"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2"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7"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7"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7"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7" authorId="4" shapeId="0" xr:uid="{00000000-0006-0000-18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7" authorId="5" shapeId="0" xr:uid="{00000000-0006-0000-18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7"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7" authorId="7" shapeId="0" xr:uid="{00000000-0006-0000-18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7" authorId="8" shapeId="0" xr:uid="{00000000-0006-0000-18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3"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V27"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7"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7"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7"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7"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7" authorId="15"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7" authorId="16" shapeId="0" xr:uid="{00000000-0006-0000-18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7"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8"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2"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2"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2"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8" authorId="22" shapeId="0" xr:uid="{00000000-0006-0000-1800-000017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8" authorId="23" shapeId="0" xr:uid="{00000000-0006-0000-1800-000018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2" authorId="24" shapeId="0" xr:uid="{00000000-0006-0000-1800-000019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5" shapeId="0" xr:uid="{00000000-0006-0000-1800-00001A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6" shapeId="0" xr:uid="{00000000-0006-0000-1800-00001B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7" shapeId="0" xr:uid="{00000000-0006-0000-1800-00001C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28" shapeId="0" xr:uid="{00000000-0006-0000-1800-00001D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6" authorId="29" shapeId="0" xr:uid="{00000000-0006-0000-1800-00001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7" authorId="30" shapeId="0" xr:uid="{00000000-0006-0000-18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8" authorId="31" shapeId="0" xr:uid="{00000000-0006-0000-18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9" authorId="32" shapeId="0" xr:uid="{00000000-0006-0000-18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0" authorId="33" shapeId="0" xr:uid="{00000000-0006-0000-18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1" authorId="34" shapeId="0" xr:uid="{00000000-0006-0000-18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2" authorId="35" shapeId="0" xr:uid="{00000000-0006-0000-18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3" authorId="36" shapeId="0" xr:uid="{00000000-0006-0000-18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6" authorId="37" shapeId="0" xr:uid="{00000000-0006-0000-1800-000026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9" authorId="38" shapeId="0" xr:uid="{00000000-0006-0000-1800-000027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9" authorId="39" shapeId="0" xr:uid="{00000000-0006-0000-1800-000028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9" authorId="40" shapeId="0" xr:uid="{00000000-0006-0000-1800-000029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9" authorId="41" shapeId="0" xr:uid="{00000000-0006-0000-1800-00002A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9" authorId="42" shapeId="0" xr:uid="{00000000-0006-0000-1800-00002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9" authorId="43" shapeId="0" xr:uid="{00000000-0006-0000-18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9" authorId="44" shapeId="0" xr:uid="{00000000-0006-0000-1800-00002D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9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9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5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5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5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5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5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5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5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<sst xmlns="http://schemas.openxmlformats.org/spreadsheetml/2006/main" count="5260" uniqueCount="2331">
  <si>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</si>
  <si>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</si>
  <si>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</si>
  <si>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</si>
  <si>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</si>
  <si>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</si>
  <si>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</si>
  <si>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</si>
  <si>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</si>
  <si>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</si>
  <si>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</si>
  <si>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</si>
  <si>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</si>
  <si>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</si>
  <si>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</si>
  <si>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</si>
  <si>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</si>
  <si>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</si>
  <si>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</si>
  <si>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</si>
  <si>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</si>
  <si>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</si>
  <si>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</si>
  <si>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</si>
  <si>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</si>
  <si>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</si>
  <si>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</si>
  <si>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</si>
  <si>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</si>
  <si>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</si>
  <si>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</si>
  <si>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</si>
  <si>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</si>
  <si>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</si>
  <si>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</si>
  <si>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</si>
  <si>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</si>
  <si>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</si>
  <si>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</si>
  <si>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</si>
  <si>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</si>
  <si>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</si>
  <si>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</si>
  <si>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</si>
  <si>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</si>
  <si>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</si>
  <si>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</si>
  <si>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</si>
  <si>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</si>
  <si>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</si>
  <si>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</si>
  <si>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</si>
  <si>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</si>
  <si>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</si>
  <si>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</si>
  <si>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</si>
  <si>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</si>
  <si>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</si>
  <si>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</si>
  <si>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</si>
  <si>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</si>
  <si>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</si>
  <si>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</si>
  <si>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</si>
  <si>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</si>
  <si>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</si>
  <si>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</si>
  <si>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</si>
  <si>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</si>
  <si>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</si>
  <si>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</si>
  <si>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</si>
  <si>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</si>
  <si>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</si>
  <si>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</si>
  <si>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</si>
  <si>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</si>
  <si>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</si>
  <si>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</si>
  <si>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</si>
  <si>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</si>
  <si>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</si>
  <si>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</si>
  <si>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</si>
  <si>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</si>
  <si>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</si>
  <si>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</si>
  <si>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</si>
  <si>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</si>
  <si>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</si>
  <si>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</si>
  <si>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</si>
  <si>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</si>
  <si>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</si>
  <si>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</si>
  <si>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</si>
  <si>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</si>
  <si>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</si>
  <si>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</si>
  <si>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</si>
  <si>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</si>
  <si>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</si>
  <si>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</si>
  <si>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</si>
  <si>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</si>
  <si>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</si>
  <si>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</si>
  <si>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</si>
  <si>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</si>
  <si>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</si>
  <si>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</si>
  <si>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</si>
  <si>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</si>
  <si>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</si>
  <si>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</si>
  <si>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</si>
  <si>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</si>
  <si>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</si>
  <si>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</si>
  <si>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</si>
  <si>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</si>
  <si>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</si>
  <si>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</si>
  <si>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</si>
  <si>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</si>
  <si>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</si>
  <si>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</si>
  <si>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</si>
  <si>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</si>
  <si>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</si>
  <si>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</si>
  <si>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</si>
  <si>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</si>
  <si>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</si>
  <si>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</si>
  <si>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</si>
  <si>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</si>
  <si>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</si>
  <si>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</si>
  <si>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</si>
  <si>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</si>
  <si>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</si>
  <si>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</si>
  <si>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</si>
  <si>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</si>
  <si>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</si>
  <si>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</si>
  <si>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</si>
  <si>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</si>
  <si>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</si>
  <si>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</si>
  <si>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</si>
  <si>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</si>
  <si>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</si>
  <si>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</si>
  <si>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</si>
  <si>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</si>
  <si>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</si>
  <si>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</si>
  <si>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</si>
  <si>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</si>
  <si>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</si>
  <si>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</si>
  <si>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</si>
  <si>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</si>
  <si>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</si>
  <si>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</si>
  <si>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</si>
  <si>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</si>
  <si>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</si>
  <si>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</si>
  <si>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</si>
  <si>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</si>
  <si>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</si>
  <si>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</si>
  <si>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</si>
  <si>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</si>
  <si>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</si>
  <si>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</si>
  <si>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</si>
  <si>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</si>
  <si>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</si>
  <si>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</si>
  <si>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</si>
  <si>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</si>
  <si>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</si>
  <si>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</si>
  <si>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</si>
  <si>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</si>
  <si>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</si>
  <si>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</si>
  <si>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</si>
  <si>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</si>
  <si>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</si>
  <si>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</si>
  <si>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</si>
  <si>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</si>
  <si>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</si>
  <si>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</si>
  <si>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</si>
  <si>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</si>
  <si>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</si>
  <si>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</si>
  <si>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</si>
  <si>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</si>
  <si>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</si>
  <si>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</si>
  <si>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</si>
  <si>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</si>
  <si>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</si>
  <si>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</si>
  <si>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</si>
  <si>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</si>
  <si>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</si>
  <si>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</si>
  <si>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</si>
  <si>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</si>
  <si>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</si>
  <si>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</si>
  <si>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</si>
  <si>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</si>
  <si>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</si>
  <si>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</si>
  <si>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</si>
  <si>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</si>
  <si>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</si>
  <si>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</si>
  <si>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</si>
  <si>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</si>
  <si>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</si>
  <si>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</si>
  <si>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</si>
  <si>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</si>
  <si>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</si>
  <si>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</si>
  <si>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</si>
  <si>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</si>
  <si>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</si>
  <si>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</si>
  <si>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</si>
  <si>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</si>
  <si>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</si>
  <si>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</si>
  <si>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</si>
  <si>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</si>
  <si>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</si>
  <si>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</si>
  <si>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</si>
  <si>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</si>
  <si>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</si>
  <si>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</si>
  <si>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</si>
  <si>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</si>
  <si>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</si>
  <si>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</si>
  <si>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</si>
  <si>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</si>
  <si>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</si>
  <si>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</si>
  <si>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</si>
  <si>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</si>
  <si>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</si>
  <si>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</si>
  <si>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</si>
  <si>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</si>
  <si>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</si>
  <si>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</si>
  <si>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</si>
  <si>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</si>
  <si>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</si>
  <si>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</si>
  <si>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</si>
  <si>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</si>
  <si>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</si>
  <si>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</si>
  <si>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</si>
  <si>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</si>
  <si>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</si>
  <si>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</si>
  <si>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</si>
  <si>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</si>
  <si>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</si>
  <si>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</si>
  <si>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</si>
  <si>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</si>
  <si>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</si>
  <si>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</si>
  <si>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</si>
  <si>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</si>
  <si>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</si>
  <si>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</si>
  <si>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</si>
  <si>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</si>
  <si>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</si>
  <si>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</si>
  <si>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</si>
  <si>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</si>
  <si>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</si>
  <si>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</si>
  <si>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</si>
  <si>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</si>
  <si>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</si>
  <si>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</si>
  <si>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</si>
  <si>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</si>
  <si>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</si>
  <si>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</si>
  <si>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</si>
  <si>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</si>
  <si>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</si>
  <si>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</si>
  <si>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</si>
  <si>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</si>
  <si>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</si>
  <si>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</si>
  <si>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</si>
  <si>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</si>
  <si>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</si>
  <si>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</si>
  <si>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</si>
  <si>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</si>
  <si>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</si>
  <si>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</si>
  <si>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</si>
  <si>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</si>
  <si>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</si>
  <si>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</si>
  <si>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</si>
  <si>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</si>
  <si>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</si>
  <si>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</si>
  <si>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</si>
  <si>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</si>
  <si>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</si>
  <si>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</si>
  <si>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</si>
  <si>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</si>
  <si>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</si>
  <si>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</si>
  <si>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</si>
  <si>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</si>
  <si>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</si>
  <si>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</si>
  <si>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</si>
  <si>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</si>
  <si>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</si>
  <si>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</si>
  <si>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</si>
  <si>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</si>
  <si>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</si>
  <si>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</si>
  <si>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</si>
  <si>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</si>
  <si>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</si>
  <si>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</si>
  <si>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</si>
  <si>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</si>
  <si>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</si>
  <si>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</si>
  <si>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</si>
  <si>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</si>
  <si>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</si>
  <si>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</si>
  <si>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</si>
  <si>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</si>
  <si>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</si>
  <si>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</si>
  <si>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</si>
  <si>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</si>
  <si>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</si>
  <si>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</si>
  <si>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</si>
  <si>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</si>
  <si>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</si>
  <si>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</si>
  <si>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</si>
  <si>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</si>
  <si>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</si>
  <si>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</si>
  <si>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</si>
  <si>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</si>
  <si>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</si>
  <si>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</si>
  <si>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</si>
  <si>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</si>
  <si>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</si>
  <si>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</si>
  <si>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</si>
  <si>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</si>
  <si>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</si>
  <si>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</si>
  <si>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</si>
  <si>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</si>
  <si>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</si>
  <si>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</si>
  <si>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</si>
  <si>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</si>
  <si>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</si>
  <si>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</si>
  <si>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</si>
  <si>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</si>
  <si>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</si>
  <si>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</si>
  <si>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</si>
  <si>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</si>
  <si>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</si>
  <si>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</si>
  <si>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</si>
  <si>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</si>
  <si>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</si>
  <si>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</si>
  <si>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</si>
  <si>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</si>
  <si>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</si>
  <si>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</si>
  <si>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</si>
  <si>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</si>
  <si>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</si>
  <si>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</si>
  <si>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</si>
  <si>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</si>
  <si>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</si>
  <si>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</si>
  <si>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</si>
  <si>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</si>
  <si>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</si>
  <si>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</si>
  <si>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</si>
  <si>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</si>
  <si>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</si>
  <si>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</si>
  <si>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</si>
  <si>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</si>
  <si>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</si>
  <si>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</si>
  <si>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</si>
  <si>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</si>
  <si>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</si>
  <si>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</si>
  <si>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</si>
  <si>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</si>
  <si>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</si>
  <si>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</si>
  <si>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</si>
  <si>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</si>
  <si>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</si>
  <si>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</si>
  <si>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</si>
  <si>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</si>
  <si>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</si>
  <si>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</si>
  <si>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</si>
  <si>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</si>
  <si>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</si>
  <si>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</si>
  <si>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</si>
  <si>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</si>
  <si>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</si>
  <si>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</si>
  <si>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</si>
  <si>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</si>
  <si>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</si>
  <si>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</si>
  <si>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</si>
  <si>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</si>
  <si>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</si>
  <si>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</si>
  <si>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</si>
  <si>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</si>
  <si>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</si>
  <si>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</si>
  <si>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</si>
  <si>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</si>
  <si>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</si>
  <si>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</si>
  <si>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</si>
  <si>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</si>
  <si>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</si>
  <si>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</si>
  <si>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</si>
  <si>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</si>
  <si>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</si>
  <si>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</si>
  <si>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</si>
  <si>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</si>
  <si>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</si>
  <si>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</si>
  <si>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</si>
  <si>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</si>
  <si>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</si>
  <si>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</si>
  <si>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</si>
  <si>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</si>
  <si>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</si>
  <si>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</si>
  <si>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</si>
  <si>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</si>
  <si>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</si>
  <si>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</si>
  <si>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</si>
  <si>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</si>
  <si>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</si>
  <si>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</si>
  <si>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</si>
  <si>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</si>
  <si>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</si>
  <si>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</si>
  <si>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</si>
  <si>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</si>
  <si>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</si>
  <si>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</si>
  <si>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</si>
  <si>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</si>
  <si>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</si>
  <si>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</si>
  <si>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</si>
  <si>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</si>
  <si>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</si>
  <si>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</si>
  <si>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</si>
  <si>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</si>
  <si>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</si>
  <si>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</si>
  <si>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</si>
  <si>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</si>
  <si>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</si>
  <si>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</si>
  <si>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</si>
  <si>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</si>
  <si>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</si>
  <si>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</si>
  <si>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</si>
  <si>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</si>
  <si>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</si>
  <si>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</si>
  <si>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</si>
  <si>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</si>
  <si>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</si>
  <si>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</si>
  <si>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</si>
  <si>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</si>
  <si>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</si>
  <si>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</si>
  <si>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</si>
  <si>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</si>
  <si>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</si>
  <si>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</si>
  <si>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</si>
  <si>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</si>
  <si>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</si>
  <si>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</si>
  <si>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</si>
  <si>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</si>
  <si>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</si>
  <si>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</si>
  <si>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</si>
  <si>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</si>
  <si>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</si>
  <si>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</si>
  <si>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</si>
  <si>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</si>
  <si>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</si>
  <si>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</si>
  <si>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</si>
  <si>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</si>
  <si>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</si>
  <si>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</si>
  <si>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</si>
  <si>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</si>
  <si>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</si>
  <si>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</si>
  <si>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</si>
  <si>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</si>
  <si>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</si>
  <si>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</si>
  <si>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</si>
  <si>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</si>
  <si>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</si>
  <si>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</si>
  <si>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</si>
  <si>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</si>
  <si>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</si>
  <si>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</si>
  <si>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</si>
  <si>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</si>
  <si>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</si>
  <si>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</si>
  <si>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</si>
  <si>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</si>
  <si>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</si>
  <si>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</si>
  <si>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</si>
  <si>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</si>
  <si>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</si>
  <si>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</si>
  <si>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</si>
  <si>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</si>
  <si>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</si>
  <si>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</si>
  <si>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</si>
  <si>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</si>
  <si>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</si>
  <si>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</si>
  <si>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</si>
  <si>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</si>
  <si>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</si>
  <si>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</si>
  <si>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</si>
  <si>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</si>
  <si>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</si>
  <si>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</si>
  <si>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</si>
  <si>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</si>
  <si>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</si>
  <si>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</si>
  <si>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</si>
  <si>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</si>
  <si>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</si>
  <si>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</si>
  <si>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</si>
  <si>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</si>
  <si>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</si>
  <si>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</si>
  <si>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</si>
  <si>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</si>
  <si>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</si>
  <si>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</si>
  <si>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</si>
  <si>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</si>
  <si>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</si>
  <si>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</si>
  <si>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</si>
  <si>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</si>
  <si>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</si>
  <si>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</si>
  <si>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</si>
  <si>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</si>
  <si>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</si>
  <si>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</si>
  <si>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</si>
  <si>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</si>
  <si>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</si>
  <si>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</si>
  <si>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</si>
  <si>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</si>
  <si>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</si>
  <si>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</si>
  <si>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</si>
  <si>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</si>
  <si>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</si>
  <si>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</si>
  <si>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</si>
  <si>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</si>
  <si>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</si>
  <si>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</si>
  <si>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</si>
  <si>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</si>
  <si>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</si>
  <si>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</si>
  <si>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</si>
  <si>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</si>
  <si>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</si>
  <si>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</si>
  <si>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</si>
  <si>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</si>
  <si>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</si>
  <si>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</si>
  <si>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</si>
  <si>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</si>
  <si>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</si>
  <si>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</si>
  <si>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</si>
  <si>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</si>
  <si>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</si>
  <si>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</si>
  <si>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</si>
  <si>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</si>
  <si>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</si>
  <si>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</si>
  <si>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</si>
  <si>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</si>
  <si>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</si>
  <si>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</si>
  <si>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</si>
  <si>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</si>
  <si>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</si>
  <si>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</si>
  <si>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</si>
  <si>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</si>
  <si>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</si>
  <si>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</si>
  <si>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</si>
  <si>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</si>
  <si>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</si>
  <si>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</si>
  <si>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</si>
  <si>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</si>
  <si>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</si>
  <si>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</si>
  <si>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</si>
  <si>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</si>
  <si>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</si>
  <si>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</si>
  <si>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</si>
  <si>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</si>
  <si>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</si>
  <si>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</si>
  <si>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</si>
  <si>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</si>
  <si>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</si>
  <si>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</si>
  <si>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</si>
  <si>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</si>
  <si>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</si>
  <si>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</si>
  <si>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</si>
  <si>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</si>
  <si>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</si>
  <si>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</si>
  <si>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</si>
  <si>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</si>
  <si>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</si>
  <si>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</si>
  <si>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</si>
  <si>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</si>
  <si>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</si>
  <si>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</si>
  <si>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</si>
  <si>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</si>
  <si>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</si>
  <si>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</si>
  <si>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</si>
  <si>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</si>
  <si>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</si>
  <si>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</si>
  <si>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</si>
  <si>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</si>
  <si>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</si>
  <si>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</si>
  <si>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</si>
  <si>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</si>
  <si>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</si>
  <si>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</si>
  <si>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</si>
  <si>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</si>
  <si>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</si>
  <si>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</si>
  <si>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</si>
  <si>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</si>
  <si>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</si>
  <si>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</si>
  <si>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</si>
  <si>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</si>
  <si>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</si>
  <si>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</si>
  <si>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</si>
  <si>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</si>
  <si>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</si>
  <si>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</si>
  <si>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</si>
  <si>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</si>
  <si>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</si>
  <si>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</si>
  <si>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</si>
  <si>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</si>
  <si>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</si>
  <si>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</si>
  <si>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</si>
  <si>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</si>
  <si>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</si>
  <si>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</si>
  <si>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</si>
  <si>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</si>
  <si>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</si>
  <si>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</si>
  <si>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</si>
  <si>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</si>
  <si>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</si>
  <si>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</si>
  <si>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</si>
  <si>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</si>
  <si>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</si>
  <si>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</si>
  <si>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</si>
  <si>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</si>
  <si>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</si>
  <si>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</si>
  <si>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</si>
  <si>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</si>
  <si>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</si>
  <si>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</si>
  <si>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</si>
  <si>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</si>
  <si>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</si>
  <si>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</si>
  <si>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</si>
  <si>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</si>
  <si>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</si>
  <si>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</si>
  <si>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</si>
  <si>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</si>
  <si>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</si>
  <si>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</si>
  <si>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</si>
  <si>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</si>
  <si>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</si>
  <si>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</si>
  <si>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</si>
  <si>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</si>
  <si>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</si>
  <si>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</si>
  <si>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</si>
  <si>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</si>
  <si>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</si>
  <si>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</si>
  <si>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</si>
  <si>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</si>
  <si>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</si>
  <si>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</si>
  <si>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</si>
  <si>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</si>
  <si>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</si>
  <si>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</si>
  <si>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</si>
  <si>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</si>
  <si>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</si>
  <si>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</si>
  <si>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</si>
  <si>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</si>
  <si>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</si>
  <si>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</si>
  <si>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</si>
  <si>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</si>
  <si>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</si>
  <si>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</si>
  <si>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</si>
  <si>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</si>
  <si>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</si>
  <si>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</si>
  <si>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</si>
  <si>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</si>
  <si>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</si>
  <si>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</si>
  <si>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</si>
  <si>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</si>
  <si>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</si>
  <si>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</si>
  <si>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</si>
  <si>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</si>
  <si>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</si>
  <si>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</si>
  <si>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</si>
  <si>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</si>
  <si>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</si>
  <si>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</si>
  <si>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</si>
  <si>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</si>
  <si>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</si>
  <si>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</si>
  <si>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</si>
  <si>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</si>
  <si>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</si>
  <si>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</si>
  <si>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</si>
  <si>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</si>
  <si>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</si>
  <si>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</si>
  <si>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</si>
  <si>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</si>
  <si>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</si>
  <si>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</si>
  <si>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</si>
  <si>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</si>
  <si>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</si>
  <si>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</si>
  <si>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</si>
  <si>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</si>
  <si>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</si>
  <si>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</si>
  <si>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</si>
  <si>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</si>
  <si>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</si>
  <si>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</si>
  <si>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</si>
  <si>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</si>
  <si>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</si>
  <si>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</si>
  <si>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</si>
  <si>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</si>
  <si>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</si>
  <si>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</si>
  <si>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</si>
  <si>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</si>
  <si>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</si>
  <si>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</si>
  <si>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</si>
  <si>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</si>
  <si>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</si>
  <si>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</si>
  <si>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</si>
  <si>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</si>
  <si>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</si>
  <si>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</si>
  <si>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</si>
  <si>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</si>
  <si>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</si>
  <si>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</si>
  <si>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</si>
  <si>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</si>
  <si>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</si>
  <si>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</si>
  <si>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</si>
  <si>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</si>
  <si>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</si>
  <si>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</si>
  <si>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</si>
  <si>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</si>
  <si>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</si>
  <si>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</si>
  <si>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</si>
  <si>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</si>
  <si>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</si>
  <si>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</si>
  <si>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</si>
  <si>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</si>
  <si>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</si>
  <si>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</si>
  <si>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</si>
  <si>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</si>
  <si>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</si>
  <si>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</si>
  <si>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</si>
  <si>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</si>
  <si>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</si>
  <si>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</si>
  <si>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</si>
  <si>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</si>
  <si>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</si>
  <si>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</si>
  <si>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</si>
  <si>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</si>
  <si>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</si>
  <si>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</si>
  <si>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</si>
  <si>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</si>
  <si>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</si>
  <si>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</si>
  <si>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</si>
  <si>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</si>
  <si>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</si>
  <si>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</si>
  <si>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</si>
  <si>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</si>
  <si>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</si>
  <si>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</si>
  <si>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</si>
  <si>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</si>
  <si>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</si>
  <si>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</si>
  <si>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</si>
  <si>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</si>
  <si>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</si>
  <si>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</si>
  <si>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</si>
  <si>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</si>
  <si>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</si>
  <si>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</si>
  <si>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</si>
  <si>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</si>
  <si>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</si>
  <si>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</si>
  <si>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</si>
  <si>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</si>
  <si>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</si>
  <si>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</si>
  <si>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</si>
  <si>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</si>
  <si>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</si>
  <si>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</si>
  <si>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</si>
  <si>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</si>
  <si>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</si>
  <si>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</si>
  <si>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</si>
  <si>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</si>
  <si>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</si>
  <si>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</si>
  <si>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</si>
  <si>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</si>
  <si>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</si>
  <si>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</si>
  <si>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</si>
  <si>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</si>
  <si>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</si>
  <si>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</si>
  <si>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</si>
  <si>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</si>
  <si>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</si>
  <si>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</si>
  <si>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</si>
  <si>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</si>
  <si>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</si>
  <si>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</si>
  <si>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</si>
  <si>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</si>
  <si>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</si>
  <si>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</si>
  <si>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</si>
  <si>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</si>
  <si>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</si>
  <si>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</si>
  <si>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</si>
  <si>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</si>
  <si>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</si>
  <si>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</si>
  <si>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</si>
  <si>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</si>
  <si>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</si>
  <si>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</si>
  <si>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</si>
  <si>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</si>
  <si>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</si>
  <si>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</si>
  <si>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</si>
  <si>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</si>
  <si>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</si>
  <si>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</si>
  <si>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</si>
  <si>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</si>
  <si>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</si>
  <si>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</si>
  <si>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</si>
  <si>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</si>
  <si>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</si>
  <si>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</si>
  <si>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</si>
  <si>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</si>
  <si>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</si>
  <si>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</si>
  <si>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</si>
  <si>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</si>
  <si>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</si>
  <si>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</si>
  <si>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</si>
  <si>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</si>
  <si>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</si>
  <si>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</si>
  <si>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</si>
  <si>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</si>
  <si>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</si>
  <si>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</si>
  <si>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</si>
  <si>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</si>
  <si>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</si>
  <si>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</si>
  <si>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</si>
  <si>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</si>
  <si>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</si>
  <si>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</si>
  <si>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</si>
  <si>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</si>
  <si>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</si>
  <si>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</si>
  <si>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</si>
  <si>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</si>
  <si>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</si>
  <si>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</si>
  <si>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</si>
  <si>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</si>
  <si>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</si>
  <si>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</si>
  <si>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</si>
  <si>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</si>
  <si>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</si>
  <si>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</si>
  <si>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</si>
  <si>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</si>
  <si>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</si>
  <si>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</si>
  <si>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</si>
  <si>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</si>
  <si>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</si>
  <si>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</si>
  <si>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</si>
  <si>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</si>
  <si>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</si>
  <si>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</si>
  <si>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</si>
  <si>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</si>
  <si>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</si>
  <si>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</si>
  <si>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</si>
  <si>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</si>
  <si>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</si>
  <si>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</si>
  <si>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</si>
  <si>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</si>
  <si>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</si>
  <si>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</si>
  <si>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</si>
  <si>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</si>
  <si>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</si>
  <si>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</si>
  <si>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</si>
  <si>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</si>
  <si>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</si>
  <si>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</si>
  <si>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</si>
  <si>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</si>
  <si>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</si>
  <si>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</si>
  <si>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</si>
  <si>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</si>
  <si>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</si>
  <si>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</si>
  <si>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</si>
  <si>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</si>
  <si>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</si>
  <si>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</si>
  <si>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</si>
  <si>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</si>
  <si>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</si>
  <si>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</si>
  <si>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</si>
  <si>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</si>
  <si>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</si>
  <si>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</si>
  <si>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</si>
  <si>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</si>
  <si>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</si>
  <si>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</si>
  <si>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</si>
  <si>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</si>
  <si>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</si>
  <si>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</si>
  <si>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</si>
  <si>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</si>
  <si>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</si>
  <si>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</si>
  <si>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</si>
  <si>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</si>
  <si>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</si>
  <si>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</si>
  <si>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</si>
  <si>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</si>
  <si>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</si>
  <si>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</si>
  <si>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</si>
  <si>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</si>
  <si>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</si>
  <si>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</si>
  <si>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</si>
  <si>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</si>
  <si>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</si>
  <si>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</si>
  <si>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</si>
  <si>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</si>
  <si>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</si>
  <si>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</si>
  <si>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</si>
  <si>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</si>
  <si>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</si>
  <si>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</si>
  <si>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</si>
  <si>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</si>
  <si>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</si>
  <si>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</si>
  <si>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</si>
  <si>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</si>
  <si>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</si>
  <si>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</si>
  <si>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</si>
  <si>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</si>
  <si>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</si>
  <si>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</si>
  <si>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</si>
  <si>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</si>
  <si>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</si>
  <si>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</si>
  <si>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</si>
  <si>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</si>
  <si>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</si>
  <si>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</si>
  <si>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</si>
  <si>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</si>
  <si>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</si>
  <si>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</si>
  <si>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</si>
  <si>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</si>
  <si>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</si>
  <si>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</si>
  <si>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</si>
  <si>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</si>
  <si>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</si>
  <si>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</si>
  <si>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</si>
  <si>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</si>
  <si>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</si>
  <si>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</si>
  <si>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</si>
  <si>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</si>
  <si>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</si>
  <si>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</si>
  <si>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</si>
  <si>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</si>
  <si>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</si>
  <si>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</si>
  <si>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</si>
  <si>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</si>
  <si>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</si>
  <si>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</si>
  <si>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</si>
  <si>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</si>
  <si>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</si>
  <si>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</si>
  <si>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</si>
  <si>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</si>
  <si>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</si>
  <si>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</si>
  <si>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</si>
  <si>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</si>
  <si>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</si>
  <si>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</si>
  <si>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</si>
  <si>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</si>
  <si>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</si>
  <si>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</si>
  <si>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</si>
  <si>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</si>
  <si>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</si>
  <si>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</si>
  <si>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</si>
  <si>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</si>
  <si>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</si>
  <si>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</si>
  <si>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</si>
  <si>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</si>
  <si>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</si>
  <si>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</si>
  <si>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</si>
  <si>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</si>
  <si>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</si>
  <si>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</si>
  <si>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</si>
  <si>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</si>
  <si>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</si>
  <si>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</si>
  <si>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</si>
  <si>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</si>
  <si>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</si>
  <si>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</si>
  <si>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</si>
  <si>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</si>
  <si>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</si>
  <si>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</si>
  <si>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</si>
  <si>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</si>
  <si>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</si>
  <si>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</si>
  <si>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</si>
  <si>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</si>
  <si>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</si>
  <si>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</si>
  <si>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</si>
  <si>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</si>
  <si>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</si>
  <si>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</si>
  <si>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</si>
  <si>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</si>
  <si>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</si>
  <si>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</si>
  <si>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</si>
  <si>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</si>
  <si>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</si>
  <si>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</si>
  <si>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</si>
  <si>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</si>
  <si>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</si>
  <si>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</si>
  <si>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</si>
  <si>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</si>
  <si>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</si>
  <si>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</si>
  <si>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</si>
  <si>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</si>
  <si>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</si>
  <si>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</si>
  <si>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</si>
  <si>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</si>
  <si>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</si>
  <si>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</si>
  <si>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</si>
  <si>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</si>
  <si>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</si>
  <si>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</si>
  <si>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</si>
  <si>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</si>
  <si>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</si>
  <si>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</si>
  <si>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</si>
  <si>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</si>
  <si>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</si>
  <si>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</si>
  <si>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</si>
  <si>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</si>
  <si>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</si>
  <si>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</si>
  <si>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</si>
  <si>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</si>
  <si>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</si>
  <si>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</si>
  <si>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</si>
  <si>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</si>
  <si>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</si>
  <si>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</si>
  <si>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</si>
  <si>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</si>
  <si>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</si>
  <si>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</si>
  <si>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</si>
  <si>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</si>
  <si>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</si>
  <si>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</si>
  <si>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</si>
  <si>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</si>
  <si>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</si>
  <si>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</si>
  <si>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</si>
  <si>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</si>
  <si>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</si>
  <si>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</si>
  <si>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</si>
  <si>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</si>
  <si>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</si>
  <si>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</si>
  <si>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</si>
  <si>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</si>
  <si>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</si>
  <si>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</si>
  <si>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</si>
  <si>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</si>
  <si>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</si>
  <si>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</si>
  <si>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</si>
  <si>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</si>
  <si>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</si>
  <si>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</si>
  <si>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</si>
  <si>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</si>
  <si>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</si>
  <si>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</si>
  <si>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</si>
  <si>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</si>
  <si>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</si>
  <si>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</si>
  <si>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</si>
  <si>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</si>
  <si>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</si>
  <si>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</si>
  <si>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</si>
  <si>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</si>
  <si>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</si>
  <si>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</si>
  <si>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</si>
  <si>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</si>
  <si>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</si>
  <si>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</si>
  <si>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</si>
  <si>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</si>
  <si>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</si>
  <si>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</si>
  <si>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</si>
  <si>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</si>
  <si>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</si>
  <si>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</si>
  <si>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</si>
  <si>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</si>
  <si>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</si>
  <si>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</si>
  <si>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</si>
  <si>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</si>
  <si>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</si>
  <si>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</si>
  <si>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</si>
  <si>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</si>
  <si>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</si>
  <si>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</si>
  <si>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</si>
  <si>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</si>
  <si>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</si>
  <si>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</si>
  <si>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</si>
  <si>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</si>
  <si>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</si>
  <si>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</si>
  <si>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</si>
  <si>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</si>
  <si>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</si>
  <si>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</si>
  <si>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</si>
  <si>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</si>
  <si>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</si>
  <si>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</si>
  <si>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</si>
  <si>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</si>
  <si>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</si>
  <si>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</si>
  <si>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</si>
  <si>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</si>
  <si>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</si>
  <si>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</si>
  <si>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</si>
  <si>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</si>
  <si>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</si>
  <si>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</si>
  <si>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</si>
  <si>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</si>
  <si>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</si>
  <si>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</si>
  <si>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</si>
  <si>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</si>
  <si>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</si>
  <si>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</si>
  <si>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</si>
  <si>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</si>
  <si>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</si>
  <si>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</si>
  <si>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</si>
  <si>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</si>
  <si>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</si>
  <si>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</si>
  <si>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</si>
  <si>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</si>
  <si>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</si>
  <si>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</si>
  <si>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</si>
  <si>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</si>
  <si>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</si>
  <si>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</si>
  <si>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</si>
  <si>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</si>
  <si>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</si>
  <si>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</si>
  <si>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</si>
  <si>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</si>
  <si>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</si>
  <si>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</si>
  <si>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</si>
  <si>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</si>
  <si>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</si>
  <si>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</si>
  <si>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</si>
  <si>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</si>
  <si>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</si>
  <si>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</si>
  <si>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</si>
  <si>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</si>
  <si>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</si>
  <si>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</si>
  <si>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</si>
  <si>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</si>
  <si>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</si>
  <si>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</si>
  <si>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</si>
  <si>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</si>
  <si>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</si>
  <si>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</si>
  <si>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</si>
  <si>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</si>
  <si>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</si>
  <si>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</si>
  <si>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</si>
  <si>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</si>
  <si>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</si>
  <si>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</si>
  <si>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</si>
  <si>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</si>
  <si>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</si>
  <si>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</si>
  <si>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</si>
  <si>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</si>
  <si>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</si>
  <si>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</si>
  <si>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</si>
  <si>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</si>
  <si>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</si>
  <si>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</si>
  <si>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</si>
  <si>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</si>
  <si>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</si>
  <si>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</si>
  <si>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</si>
  <si>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</si>
  <si>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</si>
  <si>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</si>
  <si>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</si>
  <si>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</si>
  <si>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</si>
  <si>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</si>
  <si>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</si>
  <si>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</si>
  <si>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</si>
  <si>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</si>
  <si>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</si>
  <si>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</si>
  <si>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</si>
  <si>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</si>
  <si>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</si>
  <si>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</si>
  <si>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</si>
  <si>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</si>
  <si>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</si>
  <si>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</si>
  <si>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</si>
  <si>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</si>
  <si>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</si>
  <si>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</si>
  <si>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</si>
  <si>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</si>
  <si>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</si>
  <si>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</si>
  <si>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</si>
  <si>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</si>
  <si>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</si>
  <si>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</si>
  <si>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</si>
  <si>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</si>
  <si>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</si>
  <si>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</si>
  <si>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</si>
  <si>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</si>
  <si>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</si>
  <si>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</si>
  <si>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</si>
  <si>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</si>
  <si>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</si>
  <si>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</si>
  <si>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</si>
  <si>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</si>
  <si>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</si>
  <si>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</si>
  <si>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</si>
  <si>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</si>
  <si>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</si>
  <si>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</si>
  <si>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</si>
  <si>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</si>
  <si>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</si>
  <si>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</si>
  <si>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</si>
  <si>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</si>
  <si>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</si>
  <si>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</si>
  <si>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</si>
  <si>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</si>
  <si>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</si>
  <si>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</si>
  <si>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</si>
  <si>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</si>
  <si>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</si>
  <si>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</si>
  <si>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</si>
  <si>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</si>
  <si>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</si>
  <si>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</si>
  <si>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</si>
  <si>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</si>
  <si>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</si>
  <si>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</si>
  <si>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</si>
  <si>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</si>
  <si>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</si>
  <si>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</si>
  <si>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</si>
  <si>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</si>
  <si>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</si>
  <si>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</si>
  <si>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</si>
  <si>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</si>
  <si>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</si>
  <si>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</si>
  <si>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</si>
  <si>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</si>
  <si>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</si>
  <si>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</si>
  <si>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</si>
  <si>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</si>
  <si>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</si>
  <si>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</si>
  <si>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</si>
  <si>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</si>
  <si>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</si>
  <si>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</si>
  <si>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</si>
  <si>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</si>
  <si>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</si>
  <si>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</si>
  <si>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</si>
  <si>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</si>
  <si>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</si>
  <si>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</si>
  <si>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</si>
  <si>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</si>
  <si>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</si>
  <si>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</si>
  <si>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</si>
  <si>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</si>
  <si>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</si>
  <si>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</si>
  <si>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</si>
  <si>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</si>
  <si>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</si>
  <si>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</si>
  <si>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</si>
  <si>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</si>
  <si>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</si>
  <si>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</si>
  <si>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</si>
  <si>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</si>
  <si>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</si>
  <si>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</si>
  <si>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</si>
  <si>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</si>
  <si>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</si>
  <si>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</si>
  <si>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</si>
  <si>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</si>
  <si>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</si>
  <si>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</si>
  <si>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</si>
  <si>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</si>
  <si>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</si>
  <si>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</si>
  <si>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</si>
  <si>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</si>
  <si>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</si>
  <si>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</si>
  <si>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</si>
  <si>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</si>
  <si>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</si>
  <si>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</si>
  <si>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</si>
  <si>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</si>
  <si>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</si>
  <si>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</si>
  <si>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</si>
  <si>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</si>
  <si>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</si>
  <si>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</si>
  <si>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</si>
  <si>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</si>
  <si>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</si>
  <si>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</si>
  <si>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</si>
  <si>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</si>
  <si>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</si>
  <si>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</si>
  <si>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</si>
  <si>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</si>
  <si>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</si>
  <si>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</si>
  <si>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</si>
  <si>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</si>
  <si>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</si>
  <si>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</si>
  <si>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</si>
  <si>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</si>
  <si>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</si>
  <si>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</si>
  <si>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</si>
  <si>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</si>
  <si>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</si>
  <si>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</si>
  <si>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</si>
  <si>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</si>
  <si>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</si>
  <si>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</si>
  <si>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</si>
  <si>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</si>
  <si>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</si>
  <si>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</si>
  <si>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</si>
  <si>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</si>
  <si>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</si>
  <si>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</si>
  <si>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</si>
  <si>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</si>
  <si>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</si>
  <si>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</si>
  <si>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</si>
  <si>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</si>
  <si>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</si>
  <si>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</si>
  <si>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</si>
  <si>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</si>
  <si>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</si>
  <si>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</si>
  <si>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</si>
  <si>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</si>
  <si>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</si>
  <si>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</si>
  <si>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</si>
  <si>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</si>
  <si>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</si>
  <si>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</si>
  <si>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</si>
  <si>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</si>
  <si>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</si>
  <si>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</si>
  <si>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</si>
  <si>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</si>
  <si>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</si>
  <si>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</si>
  <si>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</si>
  <si>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</si>
  <si>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</si>
  <si>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</si>
  <si>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</si>
  <si>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</si>
  <si>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</si>
  <si>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</si>
  <si>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</si>
  <si>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</si>
  <si>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</si>
  <si>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</si>
  <si>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</si>
  <si>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</si>
  <si>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</si>
  <si>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</si>
  <si>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</si>
  <si>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</si>
  <si>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</si>
  <si>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</si>
  <si>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</si>
  <si>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</si>
  <si>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</si>
  <si>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</si>
  <si>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</si>
  <si>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</si>
  <si>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</si>
  <si>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</si>
  <si>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</si>
  <si>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</si>
  <si>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</si>
  <si>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</si>
  <si>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</si>
  <si>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</si>
  <si>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</si>
  <si>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</si>
  <si>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</si>
  <si>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</si>
  <si>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</si>
  <si>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</si>
  <si>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</si>
  <si>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</si>
  <si>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</si>
  <si>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</si>
  <si>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</si>
  <si>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</si>
  <si>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</si>
  <si>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</si>
  <si>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</si>
  <si>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</si>
  <si>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</si>
  <si>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</si>
  <si>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</si>
  <si>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</si>
  <si>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</si>
  <si>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</si>
  <si>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</si>
  <si>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</si>
  <si>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</si>
  <si>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</si>
  <si>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</si>
  <si>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</si>
  <si>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</si>
  <si>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</si>
  <si>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</si>
  <si>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</si>
  <si>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</si>
  <si>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</si>
  <si>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</si>
  <si>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</si>
  <si>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</si>
  <si>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</si>
  <si>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</si>
  <si>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</si>
  <si>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</si>
  <si>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</si>
  <si>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</si>
  <si>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</si>
  <si>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</si>
  <si>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</si>
  <si>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</si>
  <si>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</si>
  <si>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</si>
  <si>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</si>
  <si>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</si>
  <si>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</si>
  <si>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</si>
  <si>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</si>
  <si>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</si>
  <si>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</si>
  <si>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</si>
  <si>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</si>
  <si>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</si>
  <si>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</si>
  <si>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</si>
  <si>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</si>
  <si>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</si>
  <si>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</si>
  <si>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</si>
  <si>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</si>
  <si>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</si>
  <si>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</si>
  <si>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</si>
  <si>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</si>
  <si>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</si>
  <si>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</si>
  <si>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</si>
  <si>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</si>
  <si>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</si>
  <si>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</si>
  <si>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</si>
  <si>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</si>
  <si>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</si>
  <si>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</si>
  <si>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</si>
  <si>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</si>
  <si>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</si>
  <si>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</si>
  <si>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</si>
  <si>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</si>
  <si>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</si>
  <si>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</si>
  <si>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</si>
  <si>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</si>
  <si>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</si>
  <si>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</si>
  <si>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</si>
  <si>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</si>
  <si>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</si>
  <si>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</si>
  <si>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</si>
  <si>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</si>
  <si>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</si>
  <si>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</si>
  <si>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</si>
  <si>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</si>
  <si>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</si>
  <si>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</si>
  <si>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</si>
  <si>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</si>
  <si>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</si>
  <si>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</si>
  <si>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</si>
  <si>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</si>
  <si>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</si>
  <si>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</si>
  <si>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</si>
  <si>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</si>
  <si>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</si>
  <si>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</si>
  <si>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</si>
  <si>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</si>
  <si>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</si>
  <si>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</si>
  <si>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</si>
  <si>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</si>
  <si>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</si>
  <si>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</si>
  <si>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</si>
  <si>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</si>
  <si>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</si>
  <si>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</si>
  <si>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</si>
  <si>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</si>
  <si>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</si>
  <si>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</si>
  <si>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</si>
  <si>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</si>
  <si>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</si>
  <si>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</si>
  <si>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</si>
  <si>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</si>
  <si>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</si>
  <si>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</si>
  <si>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</si>
  <si>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</si>
  <si>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</si>
  <si>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</si>
  <si>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</si>
  <si>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</si>
  <si>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</si>
  <si>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</si>
  <si>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</si>
  <si>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</si>
  <si>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</si>
  <si>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</si>
  <si>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</si>
  <si>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</si>
  <si>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</si>
  <si>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</si>
  <si>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</si>
  <si>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</si>
  <si>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</si>
  <si>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</si>
  <si>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</si>
  <si>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</si>
  <si>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</si>
  <si>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</si>
  <si>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</si>
  <si>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</si>
  <si>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</si>
  <si>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</si>
  <si>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</si>
  <si>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</si>
  <si>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</si>
  <si>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</si>
  <si>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</si>
  <si>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</si>
  <si>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</si>
  <si>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</si>
  <si>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</si>
  <si>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</si>
  <si>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</si>
  <si>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</si>
  <si>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</si>
  <si>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</si>
  <si>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</si>
  <si>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</si>
  <si>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</si>
  <si>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</si>
  <si>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</si>
  <si>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</si>
  <si>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</si>
  <si>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</si>
  <si>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</si>
  <si>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</si>
  <si>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</si>
  <si>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</si>
  <si>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</si>
  <si>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</si>
  <si>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</si>
  <si>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</si>
  <si>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</si>
  <si>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</si>
  <si>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</si>
  <si>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</si>
  <si>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</si>
  <si>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</si>
  <si>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</si>
  <si>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</si>
  <si>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</si>
  <si>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</si>
  <si>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</si>
  <si>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</si>
  <si>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</si>
  <si>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</si>
  <si>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</si>
  <si>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</si>
  <si>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</si>
  <si>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</si>
  <si>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</si>
  <si>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</si>
  <si>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</si>
  <si>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</si>
  <si>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</si>
  <si>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</si>
  <si>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</si>
  <si>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</si>
  <si>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</si>
  <si>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</si>
  <si>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</si>
  <si>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</si>
  <si>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</si>
  <si>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</si>
  <si>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</si>
  <si>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</si>
  <si>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</si>
  <si>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</si>
  <si>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</si>
  <si>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</si>
  <si>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</si>
  <si>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</si>
  <si>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</si>
  <si>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</si>
  <si>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</si>
  <si>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</si>
  <si>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</si>
  <si>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</si>
  <si>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</si>
  <si>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</si>
  <si>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2025 Q2 Second Revision (June)</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</si>
  <si>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</si>
  <si>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</si>
  <si>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</si>
  <si>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</si>
  <si>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</si>
  <si>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</si>
  <si>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</si>
  <si>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</si>
  <si>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</si>
  <si>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</si>
  <si>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</si>
  <si>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</si>
  <si>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</si>
  <si>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</si>
  <si>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</si>
  <si>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</si>
  <si>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</si>
  <si>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</si>
  <si>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</si>
  <si>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</si>
  <si>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</si>
  <si>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</si>
  <si>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</si>
  <si>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</si>
  <si>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</si>
  <si>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</si>
  <si>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</si>
  <si>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</si>
  <si>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</si>
  <si>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</si>
  <si>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</si>
  <si>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</si>
  <si>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</si>
  <si>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</si>
  <si>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</si>
  <si>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</si>
  <si>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</si>
  <si>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</si>
  <si>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</si>
  <si>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</si>
  <si>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</si>
  <si>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</si>
  <si>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</si>
  <si>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</si>
  <si>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</si>
  <si>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</si>
  <si>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</si>
  <si>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</si>
  <si>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</si>
  <si>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</si>
  <si>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</si>
  <si>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</si>
  <si>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</si>
  <si>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</si>
  <si>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</si>
  <si>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</si>
  <si>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</si>
  <si>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</si>
  <si>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</si>
  <si>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</si>
  <si>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</si>
  <si>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</si>
  <si>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</si>
  <si>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</si>
  <si>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</si>
  <si>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</si>
  <si>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</si>
  <si>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</si>
  <si>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</si>
  <si>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</si>
  <si>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</si>
  <si>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</si>
  <si>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</si>
  <si>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</si>
  <si>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</si>
  <si>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</si>
  <si>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</si>
  <si>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</si>
  <si>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</si>
  <si>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</si>
  <si>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</si>
  <si>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</si>
  <si>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</si>
  <si>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</si>
  <si>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</si>
  <si>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</si>
  <si>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</si>
  <si>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</si>
  <si>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</si>
  <si>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</si>
  <si>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</si>
  <si>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</si>
  <si>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</si>
  <si>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</si>
  <si>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</si>
  <si>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</si>
  <si>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</si>
  <si>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</si>
  <si>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</si>
  <si>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</si>
  <si>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</si>
  <si>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</si>
  <si>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</si>
  <si>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</si>
  <si>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</si>
  <si>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</si>
  <si>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</si>
  <si>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</si>
  <si>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</si>
  <si>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</si>
  <si>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</si>
  <si>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</si>
  <si>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</si>
  <si>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</si>
  <si>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</si>
  <si>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</si>
  <si>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</si>
  <si>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</si>
  <si>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</si>
  <si>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</si>
  <si>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</si>
  <si>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</si>
  <si>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</si>
  <si>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</si>
  <si>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</si>
  <si>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</si>
  <si>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</si>
  <si>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</si>
  <si>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</si>
  <si>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</si>
  <si>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</si>
  <si>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</si>
  <si>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</si>
  <si>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</si>
  <si>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</si>
  <si>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</si>
  <si>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</si>
  <si>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</si>
  <si>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</si>
  <si>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</si>
  <si>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</si>
  <si>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</si>
  <si>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</si>
  <si>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</si>
  <si>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</si>
  <si>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</si>
  <si>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</si>
  <si>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</si>
  <si>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</si>
  <si>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</si>
  <si>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</si>
  <si>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</si>
  <si>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</si>
  <si>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</si>
  <si>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</si>
  <si>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</si>
  <si>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</si>
  <si>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</si>
  <si>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</si>
  <si>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</si>
  <si>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</si>
  <si>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</si>
  <si>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</si>
  <si>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</si>
  <si>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</si>
  <si>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</si>
  <si>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</si>
  <si>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</si>
  <si>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</si>
  <si>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</si>
  <si>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</si>
  <si>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</si>
  <si>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</si>
  <si>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</si>
  <si>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</si>
  <si>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</si>
  <si>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</si>
  <si>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</si>
  <si>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</si>
  <si>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</si>
  <si>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</si>
  <si>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</si>
  <si>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</si>
  <si>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</si>
  <si>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</si>
  <si>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</si>
  <si>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</si>
  <si>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</si>
  <si>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</si>
  <si>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</si>
  <si>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</si>
  <si>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</si>
  <si>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</si>
  <si>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</si>
  <si>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</si>
  <si>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</si>
  <si>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</si>
  <si>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</si>
  <si>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</si>
  <si>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</si>
  <si>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</si>
  <si>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</si>
  <si>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</si>
  <si>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</si>
  <si>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</si>
  <si>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</si>
  <si>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</si>
  <si>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</si>
  <si>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</si>
  <si>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</si>
  <si>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</si>
  <si>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</si>
  <si>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</si>
  <si>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</si>
  <si>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</si>
  <si>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</si>
  <si>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</si>
  <si>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</si>
  <si>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</si>
  <si>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</si>
  <si>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</si>
  <si>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</si>
  <si>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</si>
  <si>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</si>
  <si>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</si>
  <si>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</si>
  <si>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</si>
  <si>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</si>
  <si>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</si>
  <si>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</si>
  <si>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</si>
  <si>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</si>
  <si>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</si>
  <si>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</si>
  <si>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</si>
  <si>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</si>
  <si>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</si>
  <si>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</si>
  <si>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</si>
  <si>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</si>
  <si>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</si>
  <si>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</si>
  <si>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</si>
  <si>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</si>
  <si>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</si>
  <si>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</si>
  <si>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</si>
  <si>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</si>
  <si>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</si>
  <si>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</si>
  <si>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</si>
  <si>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</si>
  <si>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</si>
  <si>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</si>
  <si>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</si>
  <si>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</si>
  <si>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</si>
  <si>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</si>
  <si>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</si>
  <si>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</si>
  <si>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</si>
  <si>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</si>
  <si>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</si>
  <si>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</si>
  <si>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</si>
  <si>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</si>
  <si>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</si>
  <si>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</si>
  <si>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</si>
  <si>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</si>
  <si>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</si>
  <si>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</si>
  <si>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</si>
  <si>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</si>
  <si>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</si>
  <si>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</si>
  <si>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</si>
  <si>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</si>
  <si>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</si>
  <si>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</si>
  <si>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</si>
  <si>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</si>
  <si>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</si>
  <si>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</si>
  <si>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</si>
  <si>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</si>
  <si>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</si>
  <si>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</si>
  <si>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</si>
  <si>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</si>
  <si>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</si>
  <si>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</si>
  <si>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</si>
  <si>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</si>
  <si>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</si>
  <si>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</si>
  <si>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</si>
  <si>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</si>
  <si>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</si>
  <si>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</si>
  <si>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</si>
  <si>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</si>
  <si>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</si>
  <si>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</si>
  <si>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</si>
  <si>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</si>
  <si>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</si>
  <si>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</si>
  <si>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</si>
  <si>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</si>
  <si>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April r</t>
  </si>
  <si>
    <t>May p</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</si>
  <si>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</si>
  <si>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</si>
  <si>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</si>
  <si>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</si>
  <si>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</si>
  <si>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</si>
  <si>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</si>
  <si>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</si>
  <si>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</si>
  <si>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</si>
  <si>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 xml:space="preserve">CBO Projections of OBBBA </t>
  </si>
  <si>
    <t>January 2025 CBO Projection of Federal Purchases (billions)</t>
  </si>
  <si>
    <t>add factor due to OBBBA (billions)</t>
  </si>
  <si>
    <t>Change in Federal Purchases Outlays (millions)</t>
  </si>
  <si>
    <t>Change in Federal Purchases Outlays (billions)</t>
  </si>
  <si>
    <t>CBO Federal Medicaid Outlay Add Factor due to OBBBA</t>
  </si>
  <si>
    <t>Hutchins Center CBO Annual FMAP Add Factor</t>
  </si>
  <si>
    <t>Hutchins Center CBO Projection of Federal Medicaid Outlays</t>
  </si>
  <si>
    <t>Revised Federal Share (FMAP)</t>
  </si>
  <si>
    <t>2025 Q2 Second Revision (June) - post changes</t>
  </si>
  <si>
    <t>OBBBA Add Factor</t>
  </si>
  <si>
    <t>Corporate Taxes add factor due to OBBBA</t>
  </si>
  <si>
    <t>Corporate Taxes including OBBBA add factor</t>
  </si>
  <si>
    <t>Personal income add factor due to OBBBA</t>
  </si>
  <si>
    <t xml:space="preserve">   Corporate taxes add factor due to OBBBA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</si>
</sst>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68" x14ac:knownFonts="1">
    <font>
      <sz val="11"/>
      <color theme="1"/>
      <name val="Calibri"/>
      <family val="2"/>
      <scheme val="minor"/>
    </font>
    <font>
      <sz val="11"/>
      <color theme="1"/>
      <name val="Calibri"/>
      <family val="2"/>
    </font>
    <font>
      <sz val="11"/>
      <color theme="1"/>
      <name val="Arial"/>
      <family val="2"/>
    </font>
    <font>
      <i/>
      <sz val="11"/>
      <color theme="1"/>
      <name val="Calibri"/>
      <family val="2"/>
    </font>
    <font>
      <b/>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5" tint="0.79998168889431442"/>
      <name val="Calibri"/>
      <family val="2"/>
    </font>
    <font>
      <b/>
      <sz val="11"/>
      <color rgb="FF4F4F4F"/>
      <name val="Segoe UI"/>
      <family val="2"/>
    </font>
    <font>
      <u/>
      <sz val="11"/>
      <color theme="10"/>
      <name val="Calibri"/>
      <family val="2"/>
      <scheme val="minor"/>
    </font>
    <font>
      <b/>
      <sz val="8"/>
      <color rgb="FF4F4F4F"/>
      <name val="Segoe UI"/>
      <family val="2"/>
    </font>
    <font>
      <sz val="11"/>
      <color theme="1"/>
      <name val="Calibri"/>
      <family val="2"/>
    </font>
    <font>
      <b/>
      <sz val="16"/>
      <color theme="1"/>
      <name val="Calibr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2">
    <border>
      <left/>
      <right/>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theme="0" tint="-0.14999847407452621"/>
      </top>
      <bottom style="thin">
        <color theme="0" tint="-0.14999847407452621"/>
      </bottom>
      <diagonal/>
    </border>
    <border>
      <left/>
      <right/>
      <top/>
      <bottom style="hair">
        <color indexed="64"/>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diagonal/>
    </border>
    <border>
      <left/>
      <right style="thin">
        <color indexed="64"/>
      </right>
      <top style="thin">
        <color auto="1"/>
      </top>
      <bottom style="thin">
        <color indexed="64"/>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ck">
        <color theme="9"/>
      </left>
      <right style="thick">
        <color theme="9"/>
      </right>
      <top style="thick">
        <color theme="9"/>
      </top>
      <bottom style="thick">
        <color theme="9"/>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9" fontId="67" fillId="0" borderId="0" applyFont="0" applyFill="0" applyBorder="0" applyAlignment="0" applyProtection="0"/>
  </cellStyleXfs>
  <cellXfs count="1468">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1" fillId="2" borderId="2" xfId="0" applyFont="1" applyFill="1" applyBorder="1" applyAlignment="1">
      <alignment vertical="top"/>
    </xf>
    <xf numFmtId="0" fontId="1" fillId="2" borderId="0" xfId="0" applyFont="1" applyFill="1" applyAlignment="1">
      <alignment vertical="top"/>
    </xf>
    <xf numFmtId="0" fontId="1" fillId="2" borderId="3" xfId="0" applyFont="1" applyFill="1" applyBorder="1" applyAlignment="1">
      <alignment vertical="top"/>
    </xf>
    <xf numFmtId="0" fontId="1" fillId="2" borderId="8" xfId="0" applyFont="1" applyFill="1" applyBorder="1" applyAlignment="1">
      <alignment vertical="top"/>
    </xf>
    <xf numFmtId="0" fontId="3"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2" borderId="7" xfId="0" applyFont="1" applyFill="1" applyBorder="1" applyAlignment="1">
      <alignment vertical="top"/>
    </xf>
    <xf numFmtId="0" fontId="1" fillId="2" borderId="1" xfId="0" applyFont="1" applyFill="1" applyBorder="1" applyAlignment="1">
      <alignment vertical="top"/>
    </xf>
    <xf numFmtId="0" fontId="4" fillId="2" borderId="4" xfId="0" applyFont="1" applyFill="1" applyBorder="1" applyAlignment="1">
      <alignment vertical="top"/>
    </xf>
    <xf numFmtId="0" fontId="4" fillId="2" borderId="1"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7" xfId="0" applyFont="1" applyBorder="1" applyAlignment="1">
      <alignment wrapText="1"/>
    </xf>
    <xf numFmtId="0" fontId="1" fillId="0" borderId="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4"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2" xfId="0" applyFont="1" applyBorder="1"/>
    <xf numFmtId="3" fontId="2" fillId="0" borderId="0" xfId="0" applyNumberFormat="1" applyFont="1" applyAlignment="1">
      <alignment horizontal="center" vertical="top" wrapText="1"/>
    </xf>
    <xf numFmtId="3" fontId="2" fillId="0" borderId="0" xfId="0" applyNumberFormat="1" applyFont="1" applyAlignment="1">
      <alignment horizontal="center" wrapText="1"/>
    </xf>
    <xf numFmtId="164" fontId="1" fillId="0" borderId="0" xfId="0" applyNumberFormat="1" applyFont="1" applyAlignment="1">
      <alignment horizontal="left"/>
    </xf>
    <xf numFmtId="165" fontId="2"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4"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2"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4" xfId="0" applyFont="1" applyBorder="1" applyAlignment="1">
      <alignment wrapText="1"/>
    </xf>
    <xf numFmtId="0" fontId="1" fillId="0" borderId="5" xfId="0" applyFont="1" applyBorder="1" applyAlignment="1">
      <alignment wrapText="1"/>
    </xf>
    <xf numFmtId="0" fontId="1" fillId="0" borderId="2" xfId="0" applyFont="1" applyBorder="1" applyAlignment="1">
      <alignment vertical="center" wrapText="1"/>
    </xf>
    <xf numFmtId="0" fontId="4" fillId="6" borderId="9" xfId="0" applyFont="1" applyFill="1" applyBorder="1" applyAlignment="1">
      <alignment horizontal="center" wrapText="1"/>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1" fillId="0" borderId="1" xfId="0" applyFont="1" applyBorder="1"/>
    <xf numFmtId="0" fontId="3" fillId="0" borderId="0" xfId="0" applyFont="1" applyAlignment="1">
      <alignment vertical="center" wrapText="1"/>
    </xf>
    <xf numFmtId="0" fontId="4" fillId="0" borderId="0" xfId="0" applyFont="1"/>
    <xf numFmtId="0" fontId="4"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4"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2" fontId="1" fillId="9" borderId="0" xfId="0" applyNumberFormat="1" applyFont="1" applyFill="1"/>
    <xf numFmtId="2" fontId="1" fillId="9" borderId="15" xfId="0" applyNumberFormat="1" applyFont="1" applyFill="1" applyBorder="1"/>
    <xf numFmtId="2" fontId="4" fillId="9" borderId="0" xfId="0" applyNumberFormat="1" applyFont="1" applyFill="1"/>
    <xf numFmtId="0" fontId="13" fillId="9" borderId="0" xfId="0" applyFont="1" applyFill="1"/>
    <xf numFmtId="0" fontId="1" fillId="9" borderId="0" xfId="0" applyFont="1" applyFill="1"/>
    <xf numFmtId="0" fontId="4" fillId="9" borderId="0" xfId="0" applyFont="1" applyFill="1"/>
    <xf numFmtId="165" fontId="1" fillId="9" borderId="0" xfId="0" applyNumberFormat="1" applyFont="1" applyFill="1" applyAlignment="1">
      <alignment horizontal="right"/>
    </xf>
    <xf numFmtId="0" fontId="14" fillId="10" borderId="0" xfId="0" applyFont="1" applyFill="1" applyAlignment="1">
      <alignment horizontal="right" vertical="center"/>
    </xf>
    <xf numFmtId="2" fontId="1" fillId="11" borderId="0" xfId="0" applyNumberFormat="1" applyFont="1" applyFill="1"/>
    <xf numFmtId="2" fontId="1" fillId="12" borderId="0" xfId="0" applyNumberFormat="1" applyFont="1" applyFill="1"/>
    <xf numFmtId="2" fontId="4" fillId="11" borderId="0" xfId="0" applyNumberFormat="1" applyFont="1" applyFill="1"/>
    <xf numFmtId="2" fontId="4" fillId="12" borderId="0" xfId="0" applyNumberFormat="1" applyFont="1" applyFill="1"/>
    <xf numFmtId="3" fontId="1" fillId="9" borderId="0" xfId="0" applyNumberFormat="1" applyFont="1" applyFill="1" applyAlignment="1">
      <alignment horizontal="right"/>
    </xf>
    <xf numFmtId="3" fontId="1" fillId="9" borderId="16" xfId="0" applyNumberFormat="1" applyFont="1" applyFill="1" applyBorder="1" applyAlignment="1">
      <alignment horizontal="right"/>
    </xf>
    <xf numFmtId="0" fontId="4" fillId="0" borderId="0" xfId="0" applyFont="1" applyAlignment="1">
      <alignment horizontal="left" wrapText="1" indent="1"/>
    </xf>
    <xf numFmtId="168" fontId="1" fillId="12" borderId="0" xfId="0" applyNumberFormat="1" applyFont="1" applyFill="1" applyAlignment="1">
      <alignment horizontal="center"/>
    </xf>
    <xf numFmtId="165" fontId="4" fillId="11" borderId="17" xfId="0" applyNumberFormat="1" applyFont="1" applyFill="1" applyBorder="1" applyAlignment="1">
      <alignment horizontal="right"/>
    </xf>
    <xf numFmtId="165" fontId="4" fillId="11" borderId="18" xfId="0" applyNumberFormat="1" applyFont="1" applyFill="1" applyBorder="1" applyAlignment="1">
      <alignment horizontal="right"/>
    </xf>
    <xf numFmtId="165" fontId="1" fillId="11" borderId="18" xfId="0" applyNumberFormat="1" applyFont="1" applyFill="1" applyBorder="1" applyAlignment="1">
      <alignment horizontal="right"/>
    </xf>
    <xf numFmtId="1" fontId="1" fillId="12" borderId="0" xfId="0" applyNumberFormat="1" applyFont="1" applyFill="1" applyAlignment="1">
      <alignment horizontal="center"/>
    </xf>
    <xf numFmtId="3" fontId="1" fillId="11" borderId="18" xfId="0" applyNumberFormat="1" applyFont="1" applyFill="1" applyBorder="1" applyAlignment="1">
      <alignment horizontal="right"/>
    </xf>
    <xf numFmtId="0" fontId="15" fillId="0" borderId="0" xfId="0" applyFont="1" applyAlignment="1">
      <alignment wrapText="1"/>
    </xf>
    <xf numFmtId="0" fontId="16" fillId="10" borderId="0" xfId="0" applyFont="1" applyFill="1" applyAlignment="1">
      <alignment horizontal="right" vertical="center"/>
    </xf>
    <xf numFmtId="0" fontId="17" fillId="11" borderId="0" xfId="0" applyFont="1" applyFill="1"/>
    <xf numFmtId="3" fontId="1" fillId="11" borderId="19" xfId="0" applyNumberFormat="1" applyFont="1" applyFill="1" applyBorder="1" applyAlignment="1">
      <alignment horizontal="right"/>
    </xf>
    <xf numFmtId="2" fontId="1" fillId="11" borderId="3" xfId="0" applyNumberFormat="1" applyFont="1" applyFill="1" applyBorder="1"/>
    <xf numFmtId="2" fontId="1" fillId="11" borderId="20" xfId="0" applyNumberFormat="1" applyFont="1" applyFill="1" applyBorder="1"/>
    <xf numFmtId="2" fontId="1" fillId="13" borderId="3" xfId="0" applyNumberFormat="1" applyFont="1" applyFill="1" applyBorder="1"/>
    <xf numFmtId="2" fontId="17" fillId="0" borderId="0" xfId="0" applyNumberFormat="1" applyFont="1"/>
    <xf numFmtId="10" fontId="17" fillId="0" borderId="0" xfId="0" applyNumberFormat="1" applyFont="1"/>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8" fillId="0" borderId="0" xfId="0" applyNumberFormat="1" applyFont="1" applyAlignment="1">
      <alignment horizontal="center"/>
    </xf>
    <xf numFmtId="168" fontId="1" fillId="11" borderId="25" xfId="0" applyNumberFormat="1" applyFont="1" applyFill="1" applyBorder="1" applyAlignment="1">
      <alignment horizontal="center"/>
    </xf>
    <xf numFmtId="168" fontId="1" fillId="0" borderId="27" xfId="0" applyNumberFormat="1" applyFont="1" applyBorder="1" applyAlignment="1">
      <alignment horizontal="center"/>
    </xf>
    <xf numFmtId="165" fontId="4" fillId="11" borderId="32" xfId="0" applyNumberFormat="1" applyFont="1" applyFill="1" applyBorder="1" applyAlignment="1">
      <alignment horizontal="right"/>
    </xf>
    <xf numFmtId="165" fontId="4" fillId="11" borderId="0" xfId="0" applyNumberFormat="1" applyFont="1" applyFill="1" applyAlignment="1">
      <alignment horizontal="right"/>
    </xf>
    <xf numFmtId="165" fontId="1" fillId="11" borderId="0" xfId="0" applyNumberFormat="1" applyFont="1" applyFill="1" applyAlignment="1">
      <alignment horizontal="right"/>
    </xf>
    <xf numFmtId="0" fontId="1" fillId="11" borderId="0" xfId="0" applyFont="1" applyFill="1"/>
    <xf numFmtId="0" fontId="1" fillId="12" borderId="0" xfId="0" applyFont="1" applyFill="1"/>
    <xf numFmtId="3" fontId="1" fillId="11" borderId="0" xfId="0" applyNumberFormat="1" applyFont="1" applyFill="1" applyAlignment="1">
      <alignment horizontal="right"/>
    </xf>
    <xf numFmtId="3" fontId="1" fillId="11" borderId="16" xfId="0" applyNumberFormat="1" applyFont="1" applyFill="1" applyBorder="1" applyAlignment="1">
      <alignment horizontal="right"/>
    </xf>
    <xf numFmtId="168" fontId="1" fillId="12" borderId="25" xfId="0" applyNumberFormat="1" applyFont="1" applyFill="1" applyBorder="1" applyAlignment="1">
      <alignment horizontal="center"/>
    </xf>
    <xf numFmtId="165" fontId="4" fillId="12" borderId="32" xfId="0" applyNumberFormat="1" applyFont="1" applyFill="1" applyBorder="1" applyAlignment="1">
      <alignment horizontal="right"/>
    </xf>
    <xf numFmtId="165" fontId="4" fillId="12" borderId="0" xfId="0" applyNumberFormat="1" applyFont="1" applyFill="1" applyAlignment="1">
      <alignment horizontal="right"/>
    </xf>
    <xf numFmtId="165" fontId="1" fillId="12" borderId="0" xfId="0" applyNumberFormat="1" applyFont="1" applyFill="1" applyAlignment="1">
      <alignment horizontal="right"/>
    </xf>
    <xf numFmtId="3" fontId="1" fillId="12" borderId="0" xfId="0" applyNumberFormat="1" applyFont="1" applyFill="1" applyAlignment="1">
      <alignment horizontal="right"/>
    </xf>
    <xf numFmtId="3" fontId="1" fillId="12" borderId="16" xfId="0" applyNumberFormat="1" applyFont="1" applyFill="1" applyBorder="1" applyAlignment="1">
      <alignment horizontal="right"/>
    </xf>
    <xf numFmtId="168" fontId="1" fillId="9" borderId="25" xfId="0" applyNumberFormat="1" applyFont="1" applyFill="1" applyBorder="1" applyAlignment="1">
      <alignment horizontal="center"/>
    </xf>
    <xf numFmtId="165" fontId="4" fillId="9" borderId="22" xfId="0" applyNumberFormat="1" applyFont="1" applyFill="1" applyBorder="1" applyAlignment="1">
      <alignment horizontal="right"/>
    </xf>
    <xf numFmtId="165" fontId="4" fillId="9" borderId="23" xfId="0" applyNumberFormat="1" applyFont="1" applyFill="1" applyBorder="1" applyAlignment="1">
      <alignment horizontal="right"/>
    </xf>
    <xf numFmtId="165" fontId="1" fillId="9" borderId="23" xfId="0" applyNumberFormat="1" applyFont="1" applyFill="1" applyBorder="1" applyAlignment="1">
      <alignment horizontal="right"/>
    </xf>
    <xf numFmtId="3" fontId="1" fillId="9" borderId="23" xfId="0" applyNumberFormat="1" applyFont="1" applyFill="1" applyBorder="1" applyAlignment="1">
      <alignment horizontal="right"/>
    </xf>
    <xf numFmtId="3" fontId="1" fillId="9" borderId="24" xfId="0" applyNumberFormat="1" applyFont="1" applyFill="1" applyBorder="1" applyAlignment="1">
      <alignment horizontal="right"/>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2" fillId="12" borderId="33"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3"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5" xfId="0" applyNumberFormat="1" applyFont="1" applyBorder="1" applyAlignment="1">
      <alignment horizontal="center"/>
    </xf>
    <xf numFmtId="165" fontId="4" fillId="0" borderId="17" xfId="0" applyNumberFormat="1" applyFont="1" applyBorder="1" applyAlignment="1">
      <alignment horizontal="right"/>
    </xf>
    <xf numFmtId="165" fontId="4" fillId="0" borderId="32" xfId="0" applyNumberFormat="1" applyFont="1" applyBorder="1" applyAlignment="1">
      <alignment horizontal="right"/>
    </xf>
    <xf numFmtId="165" fontId="4" fillId="0" borderId="18" xfId="0" applyNumberFormat="1" applyFont="1" applyBorder="1" applyAlignment="1">
      <alignment horizontal="right"/>
    </xf>
    <xf numFmtId="165" fontId="4" fillId="0" borderId="0" xfId="0" applyNumberFormat="1" applyFont="1" applyAlignment="1">
      <alignment horizontal="right"/>
    </xf>
    <xf numFmtId="165" fontId="1" fillId="0" borderId="18" xfId="0" applyNumberFormat="1" applyFont="1" applyBorder="1" applyAlignment="1">
      <alignment horizontal="right"/>
    </xf>
    <xf numFmtId="165" fontId="1" fillId="0" borderId="0" xfId="0" applyNumberFormat="1" applyFont="1" applyAlignment="1">
      <alignment horizontal="right"/>
    </xf>
    <xf numFmtId="3" fontId="1" fillId="0" borderId="18" xfId="0" applyNumberFormat="1" applyFont="1" applyBorder="1" applyAlignment="1">
      <alignment horizontal="right"/>
    </xf>
    <xf numFmtId="3" fontId="1" fillId="0" borderId="0" xfId="0" applyNumberFormat="1" applyFont="1" applyAlignment="1">
      <alignment horizontal="right"/>
    </xf>
    <xf numFmtId="3" fontId="1" fillId="0" borderId="19" xfId="0" applyNumberFormat="1" applyFont="1" applyBorder="1" applyAlignment="1">
      <alignment horizontal="right"/>
    </xf>
    <xf numFmtId="3" fontId="1" fillId="0" borderId="16" xfId="0" applyNumberFormat="1" applyFont="1" applyBorder="1" applyAlignment="1">
      <alignment horizontal="right"/>
    </xf>
    <xf numFmtId="1" fontId="1" fillId="13" borderId="23" xfId="0" applyNumberFormat="1" applyFont="1" applyFill="1" applyBorder="1" applyAlignment="1">
      <alignment horizontal="center"/>
    </xf>
    <xf numFmtId="0" fontId="11" fillId="0" borderId="0" xfId="0" applyFont="1"/>
    <xf numFmtId="0" fontId="1" fillId="13" borderId="0" xfId="0" applyFont="1" applyFill="1" applyAlignment="1">
      <alignment horizontal="left" indent="3"/>
    </xf>
    <xf numFmtId="165" fontId="1" fillId="13" borderId="18" xfId="0" applyNumberFormat="1" applyFont="1" applyFill="1" applyBorder="1" applyAlignment="1">
      <alignment horizontal="right"/>
    </xf>
    <xf numFmtId="165" fontId="1" fillId="13" borderId="0" xfId="0" applyNumberFormat="1" applyFont="1" applyFill="1" applyAlignment="1">
      <alignment horizontal="right"/>
    </xf>
    <xf numFmtId="165" fontId="4" fillId="9" borderId="17" xfId="0" applyNumberFormat="1" applyFont="1" applyFill="1" applyBorder="1" applyAlignment="1">
      <alignment horizontal="right"/>
    </xf>
    <xf numFmtId="2" fontId="1" fillId="13" borderId="20" xfId="0" applyNumberFormat="1" applyFont="1" applyFill="1" applyBorder="1"/>
    <xf numFmtId="165" fontId="4" fillId="9" borderId="18" xfId="0" applyNumberFormat="1" applyFont="1" applyFill="1" applyBorder="1" applyAlignment="1">
      <alignment horizontal="right"/>
    </xf>
    <xf numFmtId="165" fontId="1" fillId="9" borderId="18" xfId="0" applyNumberFormat="1" applyFont="1" applyFill="1" applyBorder="1" applyAlignment="1">
      <alignment horizontal="right"/>
    </xf>
    <xf numFmtId="3" fontId="1" fillId="9" borderId="18" xfId="0" applyNumberFormat="1" applyFont="1" applyFill="1" applyBorder="1" applyAlignment="1">
      <alignment horizontal="right"/>
    </xf>
    <xf numFmtId="3" fontId="1" fillId="9" borderId="19" xfId="0" applyNumberFormat="1" applyFont="1" applyFill="1" applyBorder="1" applyAlignment="1">
      <alignment horizontal="right"/>
    </xf>
    <xf numFmtId="0" fontId="4" fillId="13" borderId="0" xfId="0" applyFont="1" applyFill="1" applyAlignment="1">
      <alignment horizontal="left" wrapText="1" indent="1"/>
    </xf>
    <xf numFmtId="165" fontId="4" fillId="13" borderId="18" xfId="0" applyNumberFormat="1" applyFont="1" applyFill="1" applyBorder="1" applyAlignment="1">
      <alignment horizontal="right"/>
    </xf>
    <xf numFmtId="165" fontId="4" fillId="13" borderId="0" xfId="0" applyNumberFormat="1" applyFont="1" applyFill="1" applyAlignment="1">
      <alignment horizontal="right"/>
    </xf>
    <xf numFmtId="0" fontId="4" fillId="13" borderId="0" xfId="0" applyFont="1" applyFill="1" applyAlignment="1">
      <alignment horizontal="left"/>
    </xf>
    <xf numFmtId="0" fontId="1" fillId="0" borderId="0" xfId="0" applyFont="1" applyAlignment="1">
      <alignment horizontal="left" vertical="center" indent="2"/>
    </xf>
    <xf numFmtId="0" fontId="4" fillId="0" borderId="0" xfId="0" applyFont="1" applyAlignment="1">
      <alignment horizontal="left" indent="1"/>
    </xf>
    <xf numFmtId="0" fontId="4"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8" fillId="9" borderId="0" xfId="0" applyNumberFormat="1" applyFont="1" applyFill="1" applyAlignment="1">
      <alignment horizontal="center"/>
    </xf>
    <xf numFmtId="0" fontId="1" fillId="0" borderId="0" xfId="0" applyFont="1" applyAlignment="1">
      <alignment horizontal="left" indent="3"/>
    </xf>
    <xf numFmtId="0" fontId="4"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3" xfId="0" applyNumberFormat="1" applyFont="1" applyFill="1" applyBorder="1" applyAlignment="1">
      <alignment horizontal="left" wrapText="1"/>
    </xf>
    <xf numFmtId="0" fontId="1" fillId="0" borderId="0" xfId="0" applyFont="1" applyAlignment="1">
      <alignment horizontal="left" indent="5"/>
    </xf>
    <xf numFmtId="168" fontId="18" fillId="11" borderId="0" xfId="0" applyNumberFormat="1" applyFont="1" applyFill="1" applyAlignment="1">
      <alignment horizontal="center"/>
    </xf>
    <xf numFmtId="0" fontId="4" fillId="11" borderId="0" xfId="0" applyFont="1" applyFill="1"/>
    <xf numFmtId="0" fontId="4"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33" xfId="0" applyNumberFormat="1" applyFont="1" applyFill="1" applyBorder="1" applyAlignment="1">
      <alignment horizontal="left" wrapText="1"/>
    </xf>
    <xf numFmtId="168" fontId="18" fillId="12" borderId="0" xfId="0" applyNumberFormat="1" applyFont="1" applyFill="1" applyAlignment="1">
      <alignment horizontal="center"/>
    </xf>
    <xf numFmtId="0" fontId="4" fillId="12" borderId="0" xfId="0" applyFont="1" applyFill="1"/>
    <xf numFmtId="165" fontId="4" fillId="9" borderId="32" xfId="0" applyNumberFormat="1" applyFont="1" applyFill="1" applyBorder="1" applyAlignment="1">
      <alignment horizontal="right"/>
    </xf>
    <xf numFmtId="165" fontId="4" fillId="9" borderId="0" xfId="0" applyNumberFormat="1" applyFont="1" applyFill="1" applyAlignment="1">
      <alignment horizontal="right"/>
    </xf>
    <xf numFmtId="0" fontId="4" fillId="12" borderId="0" xfId="0"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8" borderId="35" xfId="0" applyFont="1" applyFill="1" applyBorder="1" applyAlignment="1">
      <alignment horizontal="center"/>
    </xf>
    <xf numFmtId="0" fontId="2" fillId="8" borderId="6" xfId="0" applyFont="1" applyFill="1" applyBorder="1" applyAlignment="1">
      <alignment horizontal="center"/>
    </xf>
    <xf numFmtId="0" fontId="1" fillId="8" borderId="0" xfId="0" applyFont="1" applyFill="1"/>
    <xf numFmtId="0" fontId="2" fillId="7" borderId="34" xfId="0" applyFont="1" applyFill="1" applyBorder="1"/>
    <xf numFmtId="0" fontId="2" fillId="7" borderId="0" xfId="0" applyFont="1" applyFill="1"/>
    <xf numFmtId="0" fontId="2" fillId="7" borderId="3"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left"/>
    </xf>
    <xf numFmtId="165" fontId="2" fillId="8" borderId="0" xfId="0" applyNumberFormat="1" applyFont="1" applyFill="1" applyAlignment="1">
      <alignment horizontal="center"/>
    </xf>
    <xf numFmtId="3" fontId="2" fillId="8" borderId="7" xfId="0" applyNumberFormat="1" applyFont="1" applyFill="1" applyBorder="1" applyAlignment="1">
      <alignment horizontal="center"/>
    </xf>
    <xf numFmtId="168" fontId="2" fillId="8" borderId="0" xfId="0" applyNumberFormat="1" applyFont="1" applyFill="1"/>
    <xf numFmtId="168" fontId="2" fillId="0" borderId="0" xfId="0" applyNumberFormat="1" applyFont="1"/>
    <xf numFmtId="0" fontId="1" fillId="0" borderId="3" xfId="0" applyFont="1" applyBorder="1"/>
    <xf numFmtId="0" fontId="1" fillId="0" borderId="8" xfId="0" applyFont="1" applyBorder="1"/>
    <xf numFmtId="165" fontId="2" fillId="0" borderId="0" xfId="0" applyNumberFormat="1" applyFont="1" applyAlignment="1">
      <alignment horizontal="center"/>
    </xf>
    <xf numFmtId="165" fontId="2"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2" fillId="0" borderId="0" xfId="0" applyFont="1" applyAlignment="1">
      <alignment horizontal="center" wrapText="1"/>
    </xf>
    <xf numFmtId="3" fontId="2" fillId="0" borderId="0" xfId="0" applyNumberFormat="1" applyFont="1" applyAlignment="1">
      <alignment horizontal="center"/>
    </xf>
    <xf numFmtId="0" fontId="2" fillId="7" borderId="0" xfId="0" applyFont="1" applyFill="1" applyAlignment="1">
      <alignment horizontal="center" wrapText="1"/>
    </xf>
    <xf numFmtId="165" fontId="21" fillId="8" borderId="0" xfId="0" applyNumberFormat="1" applyFont="1" applyFill="1" applyAlignment="1">
      <alignment horizontal="center"/>
    </xf>
    <xf numFmtId="0" fontId="2" fillId="0" borderId="0" xfId="0" applyFont="1"/>
    <xf numFmtId="168" fontId="2" fillId="13" borderId="0" xfId="0" applyNumberFormat="1" applyFont="1" applyFill="1"/>
    <xf numFmtId="2" fontId="1" fillId="3" borderId="4" xfId="0" applyNumberFormat="1" applyFont="1" applyFill="1" applyBorder="1"/>
    <xf numFmtId="0" fontId="2" fillId="3" borderId="35" xfId="0" applyFont="1" applyFill="1" applyBorder="1"/>
    <xf numFmtId="0" fontId="2" fillId="3" borderId="35" xfId="0" applyFont="1" applyFill="1" applyBorder="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4" xfId="0" applyFont="1" applyBorder="1" applyAlignment="1">
      <alignment horizontal="left"/>
    </xf>
    <xf numFmtId="4" fontId="2" fillId="0" borderId="0" xfId="0" applyNumberFormat="1" applyFont="1" applyAlignment="1">
      <alignment horizontal="center"/>
    </xf>
    <xf numFmtId="0" fontId="2" fillId="0" borderId="4" xfId="0" applyFont="1" applyBorder="1" applyAlignment="1">
      <alignment horizontal="center"/>
    </xf>
    <xf numFmtId="0" fontId="2" fillId="0" borderId="0" xfId="0" applyFont="1" applyAlignment="1">
      <alignment horizontal="left" vertical="top"/>
    </xf>
    <xf numFmtId="0" fontId="21" fillId="0" borderId="0" xfId="0" applyFont="1" applyAlignment="1">
      <alignment horizontal="left" wrapText="1"/>
    </xf>
    <xf numFmtId="0" fontId="1" fillId="3" borderId="7" xfId="0" applyFont="1" applyFill="1" applyBorder="1"/>
    <xf numFmtId="0" fontId="2" fillId="3" borderId="2" xfId="0" applyFont="1" applyFill="1" applyBorder="1"/>
    <xf numFmtId="0" fontId="2" fillId="3" borderId="2"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2" fillId="0" borderId="1" xfId="0" applyFont="1" applyBorder="1" applyAlignment="1">
      <alignment horizontal="left" vertical="top"/>
    </xf>
    <xf numFmtId="0" fontId="2" fillId="0" borderId="0" xfId="0" applyFont="1" applyAlignment="1">
      <alignment horizontal="left" indent="1"/>
    </xf>
    <xf numFmtId="3" fontId="2" fillId="0" borderId="0" xfId="0" applyNumberFormat="1" applyFont="1" applyAlignment="1">
      <alignment horizontal="right"/>
    </xf>
    <xf numFmtId="3" fontId="2" fillId="8" borderId="2" xfId="0" applyNumberFormat="1" applyFont="1" applyFill="1" applyBorder="1" applyAlignment="1">
      <alignment horizontal="center"/>
    </xf>
    <xf numFmtId="0" fontId="21" fillId="0" borderId="1" xfId="0" applyFont="1" applyBorder="1" applyAlignment="1">
      <alignment horizontal="left" wrapText="1"/>
    </xf>
    <xf numFmtId="0" fontId="2" fillId="8" borderId="2" xfId="0" applyFont="1" applyFill="1" applyBorder="1" applyAlignment="1">
      <alignment horizontal="center"/>
    </xf>
    <xf numFmtId="0" fontId="2" fillId="0" borderId="5"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center"/>
    </xf>
    <xf numFmtId="14" fontId="1" fillId="0" borderId="1" xfId="0" applyNumberFormat="1" applyFont="1" applyBorder="1"/>
    <xf numFmtId="14" fontId="1" fillId="0" borderId="7" xfId="0" applyNumberFormat="1" applyFont="1" applyBorder="1"/>
    <xf numFmtId="165" fontId="2" fillId="8" borderId="5" xfId="0" applyNumberFormat="1" applyFont="1" applyFill="1" applyBorder="1" applyAlignment="1">
      <alignment horizontal="center"/>
    </xf>
    <xf numFmtId="0" fontId="4" fillId="0" borderId="0" xfId="0" applyFont="1" applyAlignment="1">
      <alignment horizontal="center" wrapText="1"/>
    </xf>
    <xf numFmtId="169" fontId="1" fillId="0" borderId="0" xfId="0" applyNumberFormat="1" applyFont="1"/>
    <xf numFmtId="0" fontId="4" fillId="3" borderId="4" xfId="0" applyFont="1" applyFill="1" applyBorder="1" applyAlignment="1">
      <alignment horizontal="center" wrapText="1"/>
    </xf>
    <xf numFmtId="0" fontId="4" fillId="3" borderId="6" xfId="0" applyFont="1" applyFill="1" applyBorder="1" applyAlignment="1">
      <alignment wrapText="1"/>
    </xf>
    <xf numFmtId="0" fontId="2" fillId="0" borderId="0" xfId="0" applyFont="1" applyAlignment="1">
      <alignment wrapText="1"/>
    </xf>
    <xf numFmtId="0" fontId="2" fillId="7" borderId="8" xfId="0" applyFont="1" applyFill="1" applyBorder="1" applyAlignment="1">
      <alignment horizontal="center"/>
    </xf>
    <xf numFmtId="0" fontId="2" fillId="7" borderId="7" xfId="0" applyFont="1" applyFill="1" applyBorder="1" applyAlignment="1">
      <alignment horizontal="center"/>
    </xf>
    <xf numFmtId="0" fontId="2" fillId="7" borderId="2" xfId="0" applyFont="1" applyFill="1" applyBorder="1" applyAlignment="1">
      <alignment horizontal="center"/>
    </xf>
    <xf numFmtId="0" fontId="2" fillId="0" borderId="5" xfId="0" applyFont="1" applyBorder="1" applyAlignment="1">
      <alignment horizontal="center"/>
    </xf>
    <xf numFmtId="0" fontId="12" fillId="0" borderId="1" xfId="0" applyFont="1" applyBorder="1"/>
    <xf numFmtId="3" fontId="2" fillId="8" borderId="8" xfId="0" applyNumberFormat="1" applyFont="1" applyFill="1" applyBorder="1" applyAlignment="1">
      <alignment horizontal="center"/>
    </xf>
    <xf numFmtId="0" fontId="2" fillId="0" borderId="1" xfId="0" applyFont="1" applyBorder="1" applyAlignment="1">
      <alignment horizontal="left"/>
    </xf>
    <xf numFmtId="3" fontId="2" fillId="7" borderId="2" xfId="0" applyNumberFormat="1" applyFont="1" applyFill="1" applyBorder="1" applyAlignment="1">
      <alignment horizontal="center"/>
    </xf>
    <xf numFmtId="0" fontId="2" fillId="7" borderId="1" xfId="0" applyFont="1" applyFill="1" applyBorder="1"/>
    <xf numFmtId="0" fontId="2" fillId="8" borderId="0" xfId="0" applyFont="1" applyFill="1"/>
    <xf numFmtId="2" fontId="1" fillId="0" borderId="0" xfId="0" applyNumberFormat="1" applyFont="1"/>
    <xf numFmtId="0" fontId="2" fillId="8" borderId="5" xfId="0" applyFont="1" applyFill="1" applyBorder="1" applyAlignment="1">
      <alignment horizontal="center"/>
    </xf>
    <xf numFmtId="0" fontId="2" fillId="7" borderId="4" xfId="0" applyFont="1" applyFill="1" applyBorder="1" applyAlignment="1">
      <alignment horizontal="center"/>
    </xf>
    <xf numFmtId="0" fontId="2" fillId="7" borderId="5" xfId="0" applyFont="1" applyFill="1" applyBorder="1" applyAlignment="1">
      <alignment horizontal="center"/>
    </xf>
    <xf numFmtId="0" fontId="2" fillId="7" borderId="6" xfId="0" applyFont="1" applyFill="1" applyBorder="1" applyAlignment="1">
      <alignment horizontal="center"/>
    </xf>
    <xf numFmtId="0" fontId="2" fillId="8" borderId="7" xfId="0" applyFont="1" applyFill="1" applyBorder="1" applyAlignment="1">
      <alignment horizontal="center"/>
    </xf>
    <xf numFmtId="0" fontId="2" fillId="7" borderId="35" xfId="0" applyFont="1" applyFill="1" applyBorder="1" applyAlignment="1">
      <alignment horizontal="center"/>
    </xf>
    <xf numFmtId="0" fontId="2" fillId="8" borderId="8" xfId="0" applyFont="1" applyFill="1" applyBorder="1" applyAlignment="1">
      <alignment horizontal="center"/>
    </xf>
    <xf numFmtId="0" fontId="2" fillId="7" borderId="35" xfId="0" applyFont="1" applyFill="1" applyBorder="1"/>
    <xf numFmtId="0" fontId="2" fillId="3" borderId="0" xfId="0" applyFont="1" applyFill="1" applyAlignment="1">
      <alignment horizontal="center"/>
    </xf>
    <xf numFmtId="0" fontId="2" fillId="8" borderId="14" xfId="0" applyFont="1" applyFill="1" applyBorder="1" applyAlignment="1">
      <alignment horizontal="center"/>
    </xf>
    <xf numFmtId="0" fontId="2" fillId="8" borderId="12" xfId="0" applyFont="1" applyFill="1" applyBorder="1" applyAlignment="1">
      <alignment horizontal="center"/>
    </xf>
    <xf numFmtId="3" fontId="2" fillId="7" borderId="0" xfId="0" applyNumberFormat="1" applyFont="1" applyFill="1" applyAlignment="1">
      <alignment horizontal="center"/>
    </xf>
    <xf numFmtId="3" fontId="21" fillId="7" borderId="0" xfId="0" applyNumberFormat="1" applyFont="1" applyFill="1" applyAlignment="1">
      <alignment horizontal="center"/>
    </xf>
    <xf numFmtId="165" fontId="2" fillId="8" borderId="6" xfId="0" applyNumberFormat="1" applyFont="1" applyFill="1" applyBorder="1" applyAlignment="1">
      <alignment horizontal="center"/>
    </xf>
    <xf numFmtId="0" fontId="2" fillId="7" borderId="6" xfId="0" applyFont="1" applyFill="1" applyBorder="1"/>
    <xf numFmtId="0" fontId="2"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2" fillId="7" borderId="3" xfId="0" applyFont="1" applyFill="1" applyBorder="1" applyAlignment="1">
      <alignment horizontal="center" wrapText="1"/>
    </xf>
    <xf numFmtId="165" fontId="2" fillId="8" borderId="3" xfId="0" applyNumberFormat="1" applyFont="1" applyFill="1" applyBorder="1" applyAlignment="1">
      <alignment horizontal="center"/>
    </xf>
    <xf numFmtId="3" fontId="2" fillId="7" borderId="3" xfId="0" applyNumberFormat="1" applyFont="1" applyFill="1" applyBorder="1" applyAlignment="1">
      <alignment horizontal="center"/>
    </xf>
    <xf numFmtId="0" fontId="2" fillId="0" borderId="38" xfId="0" applyFont="1" applyBorder="1"/>
    <xf numFmtId="0" fontId="2" fillId="0" borderId="39" xfId="0" applyFont="1" applyBorder="1" applyAlignment="1">
      <alignment horizontal="center"/>
    </xf>
    <xf numFmtId="0" fontId="2" fillId="0" borderId="38" xfId="0" applyFont="1" applyBorder="1" applyAlignment="1">
      <alignment horizontal="center"/>
    </xf>
    <xf numFmtId="165" fontId="2" fillId="0" borderId="38" xfId="0" applyNumberFormat="1" applyFont="1" applyBorder="1" applyAlignment="1">
      <alignment horizontal="center"/>
    </xf>
    <xf numFmtId="0" fontId="2" fillId="0" borderId="35" xfId="0" applyFont="1" applyBorder="1" applyAlignment="1">
      <alignment horizontal="center"/>
    </xf>
    <xf numFmtId="2" fontId="1" fillId="3" borderId="0" xfId="0" applyNumberFormat="1" applyFont="1" applyFill="1"/>
    <xf numFmtId="0" fontId="1" fillId="3" borderId="0" xfId="0" applyFont="1" applyFill="1"/>
    <xf numFmtId="4" fontId="2" fillId="0" borderId="3" xfId="0" applyNumberFormat="1" applyFont="1" applyBorder="1" applyAlignment="1">
      <alignment horizontal="center"/>
    </xf>
    <xf numFmtId="168" fontId="2" fillId="8" borderId="38" xfId="0" applyNumberFormat="1" applyFont="1" applyFill="1" applyBorder="1"/>
    <xf numFmtId="168" fontId="2"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12" fillId="9" borderId="36" xfId="0" applyFont="1" applyFill="1" applyBorder="1" applyAlignment="1">
      <alignment horizontal="center" vertical="center" wrapText="1"/>
    </xf>
    <xf numFmtId="0" fontId="12" fillId="0" borderId="0" xfId="0" applyFont="1" applyAlignment="1">
      <alignment horizontal="center"/>
    </xf>
    <xf numFmtId="0" fontId="2" fillId="7" borderId="1" xfId="0" applyFont="1" applyFill="1" applyBorder="1" applyAlignment="1">
      <alignment wrapText="1"/>
    </xf>
    <xf numFmtId="0" fontId="2" fillId="7" borderId="0" xfId="0" applyFont="1" applyFill="1" applyAlignment="1">
      <alignment wrapText="1"/>
    </xf>
    <xf numFmtId="0" fontId="2" fillId="7" borderId="34" xfId="0" applyFont="1" applyFill="1" applyBorder="1" applyAlignment="1">
      <alignment wrapText="1"/>
    </xf>
    <xf numFmtId="0" fontId="2" fillId="8" borderId="6" xfId="0" applyFont="1" applyFill="1" applyBorder="1"/>
    <xf numFmtId="165" fontId="2" fillId="8" borderId="0" xfId="0" applyNumberFormat="1" applyFont="1" applyFill="1" applyAlignment="1">
      <alignment horizontal="center" vertical="top" wrapText="1"/>
    </xf>
    <xf numFmtId="3" fontId="2" fillId="8" borderId="3" xfId="0" applyNumberFormat="1" applyFont="1" applyFill="1" applyBorder="1" applyAlignment="1">
      <alignment horizontal="center"/>
    </xf>
    <xf numFmtId="0" fontId="2" fillId="8" borderId="35" xfId="0" applyFont="1" applyFill="1" applyBorder="1"/>
    <xf numFmtId="165" fontId="1" fillId="0" borderId="0" xfId="0" applyNumberFormat="1" applyFont="1"/>
    <xf numFmtId="3" fontId="2" fillId="0" borderId="2" xfId="0" applyNumberFormat="1" applyFont="1" applyBorder="1" applyAlignment="1">
      <alignment horizontal="center" vertical="top"/>
    </xf>
    <xf numFmtId="168" fontId="2" fillId="0" borderId="3" xfId="0" applyNumberFormat="1" applyFont="1" applyBorder="1" applyAlignment="1">
      <alignment horizontal="center"/>
    </xf>
    <xf numFmtId="165" fontId="2" fillId="0" borderId="8" xfId="0" applyNumberFormat="1" applyFont="1" applyBorder="1" applyAlignment="1">
      <alignment horizontal="center"/>
    </xf>
    <xf numFmtId="165" fontId="2" fillId="0" borderId="0" xfId="0" applyNumberFormat="1" applyFont="1" applyAlignment="1">
      <alignment horizontal="center" vertical="top"/>
    </xf>
    <xf numFmtId="0" fontId="1" fillId="0" borderId="7" xfId="0" applyFont="1" applyBorder="1"/>
    <xf numFmtId="165" fontId="2" fillId="0" borderId="0" xfId="0" applyNumberFormat="1" applyFont="1" applyAlignment="1">
      <alignment horizontal="center" wrapText="1"/>
    </xf>
    <xf numFmtId="165" fontId="2" fillId="0" borderId="2"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2" fillId="0" borderId="2" xfId="0" applyNumberFormat="1" applyFont="1" applyBorder="1"/>
    <xf numFmtId="165" fontId="2" fillId="8" borderId="0" xfId="0" applyNumberFormat="1" applyFont="1" applyFill="1" applyAlignment="1">
      <alignment horizontal="center" wrapText="1"/>
    </xf>
    <xf numFmtId="165" fontId="2" fillId="14" borderId="0" xfId="0" applyNumberFormat="1" applyFont="1" applyFill="1" applyAlignment="1">
      <alignment horizontal="center" wrapText="1"/>
    </xf>
    <xf numFmtId="165" fontId="2" fillId="14" borderId="0" xfId="0" applyNumberFormat="1" applyFont="1" applyFill="1" applyAlignment="1">
      <alignment horizontal="center" vertical="top" wrapText="1"/>
    </xf>
    <xf numFmtId="1" fontId="2" fillId="7" borderId="0" xfId="0" applyNumberFormat="1" applyFont="1" applyFill="1" applyAlignment="1">
      <alignment horizontal="center" wrapText="1"/>
    </xf>
    <xf numFmtId="1" fontId="2" fillId="7" borderId="0" xfId="0" applyNumberFormat="1" applyFont="1" applyFill="1" applyAlignment="1">
      <alignment horizontal="center"/>
    </xf>
    <xf numFmtId="3" fontId="2" fillId="13" borderId="0" xfId="0" applyNumberFormat="1" applyFont="1" applyFill="1" applyAlignment="1">
      <alignment horizontal="center" wrapText="1"/>
    </xf>
    <xf numFmtId="3" fontId="2" fillId="8" borderId="0" xfId="0" applyNumberFormat="1" applyFont="1" applyFill="1" applyAlignment="1">
      <alignment horizontal="center"/>
    </xf>
    <xf numFmtId="3" fontId="2" fillId="8" borderId="0" xfId="0" applyNumberFormat="1" applyFont="1" applyFill="1" applyAlignment="1">
      <alignment horizontal="center" wrapText="1"/>
    </xf>
    <xf numFmtId="165" fontId="21" fillId="0" borderId="0" xfId="0" applyNumberFormat="1" applyFont="1" applyAlignment="1">
      <alignment horizontal="center" wrapText="1"/>
    </xf>
    <xf numFmtId="0" fontId="2"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2" fillId="8" borderId="0" xfId="0" applyNumberFormat="1" applyFont="1" applyFill="1" applyAlignment="1">
      <alignment horizontal="center" wrapText="1"/>
    </xf>
    <xf numFmtId="0" fontId="2" fillId="3" borderId="33" xfId="0" applyFont="1" applyFill="1" applyBorder="1" applyAlignment="1">
      <alignment horizontal="center" vertical="center" wrapText="1"/>
    </xf>
    <xf numFmtId="165" fontId="2" fillId="13" borderId="0" xfId="0" applyNumberFormat="1" applyFont="1" applyFill="1" applyAlignment="1">
      <alignment horizontal="center" vertical="top" wrapText="1"/>
    </xf>
    <xf numFmtId="165" fontId="2" fillId="2" borderId="0" xfId="0" applyNumberFormat="1" applyFont="1" applyFill="1" applyAlignment="1">
      <alignment horizontal="center" wrapText="1"/>
    </xf>
    <xf numFmtId="0" fontId="2" fillId="0" borderId="4" xfId="0" applyFont="1" applyBorder="1" applyAlignment="1">
      <alignment horizontal="left" wrapText="1"/>
    </xf>
    <xf numFmtId="0" fontId="2" fillId="0" borderId="4" xfId="0" applyFont="1" applyBorder="1" applyAlignment="1">
      <alignment horizontal="center" wrapText="1"/>
    </xf>
    <xf numFmtId="0" fontId="2" fillId="0" borderId="35" xfId="0" applyFont="1" applyBorder="1" applyAlignment="1">
      <alignment horizontal="center" wrapText="1"/>
    </xf>
    <xf numFmtId="165" fontId="2" fillId="0" borderId="35" xfId="0" applyNumberFormat="1" applyFont="1" applyBorder="1" applyAlignment="1">
      <alignment horizontal="center" wrapText="1"/>
    </xf>
    <xf numFmtId="3" fontId="2" fillId="0" borderId="3" xfId="0" applyNumberFormat="1" applyFont="1" applyBorder="1" applyAlignment="1">
      <alignment horizontal="center" wrapText="1"/>
    </xf>
    <xf numFmtId="0" fontId="2" fillId="0" borderId="2" xfId="0" applyFont="1" applyBorder="1"/>
    <xf numFmtId="3" fontId="2" fillId="0" borderId="1" xfId="0" applyNumberFormat="1" applyFont="1" applyBorder="1" applyAlignment="1">
      <alignment horizontal="center" vertical="top" wrapText="1"/>
    </xf>
    <xf numFmtId="2" fontId="2" fillId="8" borderId="2" xfId="0" applyNumberFormat="1" applyFont="1" applyFill="1" applyBorder="1"/>
    <xf numFmtId="165" fontId="21" fillId="8" borderId="35" xfId="0" applyNumberFormat="1" applyFont="1" applyFill="1" applyBorder="1" applyAlignment="1">
      <alignment horizontal="center"/>
    </xf>
    <xf numFmtId="0" fontId="2" fillId="0" borderId="1" xfId="0" applyFont="1" applyBorder="1" applyAlignment="1">
      <alignment horizontal="left" vertical="top" wrapText="1" indent="2"/>
    </xf>
    <xf numFmtId="3" fontId="2" fillId="0" borderId="3" xfId="0" applyNumberFormat="1" applyFont="1" applyBorder="1" applyAlignment="1">
      <alignment horizontal="center"/>
    </xf>
    <xf numFmtId="3" fontId="2" fillId="7" borderId="2" xfId="0" applyNumberFormat="1" applyFont="1" applyFill="1" applyBorder="1" applyAlignment="1">
      <alignment horizontal="center" vertical="top" wrapText="1"/>
    </xf>
    <xf numFmtId="1" fontId="2" fillId="0" borderId="4" xfId="0" applyNumberFormat="1" applyFont="1" applyBorder="1" applyAlignment="1">
      <alignment horizontal="center"/>
    </xf>
    <xf numFmtId="1" fontId="2" fillId="0" borderId="35" xfId="0" applyNumberFormat="1" applyFont="1" applyBorder="1" applyAlignment="1">
      <alignment horizontal="center"/>
    </xf>
    <xf numFmtId="1" fontId="2" fillId="7" borderId="35" xfId="0" applyNumberFormat="1" applyFont="1" applyFill="1" applyBorder="1" applyAlignment="1">
      <alignment horizontal="center"/>
    </xf>
    <xf numFmtId="0" fontId="21" fillId="0" borderId="0" xfId="0" applyFont="1" applyAlignment="1">
      <alignment horizontal="left"/>
    </xf>
    <xf numFmtId="0" fontId="21" fillId="0" borderId="4" xfId="0" applyFont="1" applyBorder="1" applyAlignment="1">
      <alignment horizontal="left"/>
    </xf>
    <xf numFmtId="0" fontId="21" fillId="0" borderId="35" xfId="0" applyFont="1" applyBorder="1" applyAlignment="1">
      <alignment horizontal="left"/>
    </xf>
    <xf numFmtId="1" fontId="2" fillId="0" borderId="1" xfId="0" applyNumberFormat="1" applyFont="1" applyBorder="1" applyAlignment="1">
      <alignment horizontal="center" wrapText="1"/>
    </xf>
    <xf numFmtId="165" fontId="2" fillId="0" borderId="5" xfId="0" applyNumberFormat="1" applyFont="1" applyBorder="1" applyAlignment="1">
      <alignment horizontal="center" wrapText="1"/>
    </xf>
    <xf numFmtId="165" fontId="2" fillId="15" borderId="0" xfId="0" applyNumberFormat="1" applyFont="1" applyFill="1" applyAlignment="1">
      <alignment horizontal="center" wrapText="1"/>
    </xf>
    <xf numFmtId="165" fontId="2" fillId="0" borderId="0" xfId="0" applyNumberFormat="1" applyFont="1" applyAlignment="1">
      <alignment vertical="top" wrapText="1"/>
    </xf>
    <xf numFmtId="0" fontId="2" fillId="0" borderId="7" xfId="0" applyFont="1" applyBorder="1" applyAlignment="1">
      <alignment horizontal="left" vertical="top" wrapText="1" indent="2"/>
    </xf>
    <xf numFmtId="0" fontId="2" fillId="0" borderId="3" xfId="0" applyFont="1" applyBorder="1" applyAlignment="1">
      <alignment vertical="top" wrapText="1"/>
    </xf>
    <xf numFmtId="0" fontId="2" fillId="0" borderId="1" xfId="0" applyFont="1" applyBorder="1" applyAlignment="1">
      <alignment horizontal="left" wrapText="1" indent="4"/>
    </xf>
    <xf numFmtId="0" fontId="12" fillId="0" borderId="0" xfId="0" applyFont="1" applyAlignment="1">
      <alignment horizontal="left" wrapText="1"/>
    </xf>
    <xf numFmtId="3" fontId="2" fillId="0" borderId="0" xfId="0" applyNumberFormat="1" applyFont="1" applyAlignment="1">
      <alignment horizontal="center" vertical="top"/>
    </xf>
    <xf numFmtId="3" fontId="2" fillId="0" borderId="8" xfId="0" applyNumberFormat="1" applyFont="1" applyBorder="1" applyAlignment="1">
      <alignment horizontal="center" wrapText="1"/>
    </xf>
    <xf numFmtId="0" fontId="2" fillId="0" borderId="41" xfId="0" applyFont="1" applyBorder="1" applyAlignment="1">
      <alignment wrapText="1"/>
    </xf>
    <xf numFmtId="0" fontId="2" fillId="0" borderId="36" xfId="0" applyFont="1" applyBorder="1"/>
    <xf numFmtId="3" fontId="2" fillId="0" borderId="0" xfId="0" applyNumberFormat="1" applyFont="1" applyAlignment="1">
      <alignment vertical="top" wrapText="1"/>
    </xf>
    <xf numFmtId="3" fontId="2" fillId="0" borderId="6" xfId="0" applyNumberFormat="1" applyFont="1" applyBorder="1" applyAlignment="1">
      <alignment horizontal="center"/>
    </xf>
    <xf numFmtId="3" fontId="2" fillId="0" borderId="7" xfId="0" applyNumberFormat="1" applyFont="1" applyBorder="1" applyAlignment="1">
      <alignment horizontal="center" vertical="top" wrapText="1"/>
    </xf>
    <xf numFmtId="0" fontId="2" fillId="0" borderId="0" xfId="0" applyFont="1" applyAlignment="1">
      <alignment horizontal="left" wrapText="1" indent="2"/>
    </xf>
    <xf numFmtId="3" fontId="2" fillId="0" borderId="2" xfId="0" applyNumberFormat="1" applyFont="1" applyBorder="1" applyAlignment="1">
      <alignment horizontal="center" vertical="top" wrapText="1"/>
    </xf>
    <xf numFmtId="0" fontId="2" fillId="0" borderId="0" xfId="0" applyFont="1" applyAlignment="1">
      <alignment horizontal="left" wrapText="1" indent="4"/>
    </xf>
    <xf numFmtId="0" fontId="2" fillId="0" borderId="3" xfId="0" applyFont="1" applyBorder="1" applyAlignment="1">
      <alignment wrapText="1"/>
    </xf>
    <xf numFmtId="0" fontId="2" fillId="0" borderId="7" xfId="0" applyFont="1" applyBorder="1" applyAlignment="1">
      <alignment horizontal="left" wrapText="1" indent="4"/>
    </xf>
    <xf numFmtId="3" fontId="22" fillId="0" borderId="0" xfId="0" applyNumberFormat="1" applyFont="1" applyAlignment="1">
      <alignment horizontal="center" wrapText="1"/>
    </xf>
    <xf numFmtId="3" fontId="2" fillId="0" borderId="2" xfId="0" applyNumberFormat="1" applyFont="1" applyBorder="1" applyAlignment="1">
      <alignment horizontal="center" wrapText="1"/>
    </xf>
    <xf numFmtId="168" fontId="2" fillId="0" borderId="1" xfId="0" applyNumberFormat="1" applyFont="1" applyBorder="1" applyAlignment="1">
      <alignment horizontal="center" wrapText="1"/>
    </xf>
    <xf numFmtId="168" fontId="2" fillId="0" borderId="7" xfId="0" applyNumberFormat="1" applyFont="1" applyBorder="1" applyAlignment="1">
      <alignment horizontal="center" wrapText="1"/>
    </xf>
    <xf numFmtId="0" fontId="23" fillId="0" borderId="0" xfId="0" applyFont="1"/>
    <xf numFmtId="165" fontId="2" fillId="8" borderId="2" xfId="0" applyNumberFormat="1" applyFont="1" applyFill="1" applyBorder="1" applyAlignment="1">
      <alignment horizontal="center" wrapText="1"/>
    </xf>
    <xf numFmtId="0" fontId="12" fillId="0" borderId="0" xfId="0" applyFont="1" applyAlignment="1">
      <alignment wrapText="1"/>
    </xf>
    <xf numFmtId="3" fontId="2" fillId="0" borderId="0" xfId="0" applyNumberFormat="1" applyFont="1" applyAlignment="1">
      <alignment horizontal="left" vertical="top" wrapText="1"/>
    </xf>
    <xf numFmtId="168" fontId="2" fillId="0" borderId="0" xfId="0" applyNumberFormat="1" applyFont="1" applyAlignment="1">
      <alignment horizontal="center" wrapText="1"/>
    </xf>
    <xf numFmtId="165" fontId="2" fillId="0" borderId="0" xfId="0" applyNumberFormat="1" applyFont="1" applyAlignment="1">
      <alignment wrapText="1"/>
    </xf>
    <xf numFmtId="0" fontId="12" fillId="0" borderId="1" xfId="0" applyFont="1" applyBorder="1" applyAlignment="1">
      <alignment horizontal="left" vertical="top" wrapText="1"/>
    </xf>
    <xf numFmtId="3" fontId="12" fillId="0" borderId="33" xfId="0" applyNumberFormat="1" applyFont="1" applyBorder="1" applyAlignment="1">
      <alignment horizontal="left" wrapText="1"/>
    </xf>
    <xf numFmtId="165" fontId="2" fillId="0" borderId="13" xfId="0" applyNumberFormat="1" applyFont="1" applyBorder="1" applyAlignment="1">
      <alignment horizontal="center" wrapText="1"/>
    </xf>
    <xf numFmtId="168" fontId="2" fillId="0" borderId="13" xfId="0" applyNumberFormat="1" applyFont="1" applyBorder="1" applyAlignment="1">
      <alignment horizontal="center" wrapText="1"/>
    </xf>
    <xf numFmtId="3" fontId="2" fillId="0" borderId="12" xfId="0" applyNumberFormat="1" applyFont="1" applyBorder="1" applyAlignment="1">
      <alignment horizontal="center" vertical="top"/>
    </xf>
    <xf numFmtId="0" fontId="12" fillId="0" borderId="0" xfId="0" applyFont="1" applyAlignment="1">
      <alignment horizontal="center" vertical="center" wrapText="1"/>
    </xf>
    <xf numFmtId="165" fontId="2" fillId="0" borderId="8" xfId="0" applyNumberFormat="1" applyFont="1" applyBorder="1" applyAlignment="1">
      <alignment horizontal="center" wrapText="1"/>
    </xf>
    <xf numFmtId="3" fontId="2" fillId="0" borderId="8" xfId="0" applyNumberFormat="1" applyFont="1" applyBorder="1" applyAlignment="1">
      <alignment horizontal="center"/>
    </xf>
    <xf numFmtId="165" fontId="2"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2" fillId="14" borderId="2" xfId="0" applyNumberFormat="1" applyFont="1" applyFill="1" applyBorder="1" applyAlignment="1">
      <alignment horizontal="center" wrapText="1"/>
    </xf>
    <xf numFmtId="0" fontId="2" fillId="0" borderId="1" xfId="0" applyFont="1" applyBorder="1" applyAlignment="1">
      <alignment horizontal="left" wrapText="1" indent="2"/>
    </xf>
    <xf numFmtId="0" fontId="2" fillId="0" borderId="5" xfId="0" applyFont="1" applyBorder="1" applyAlignment="1">
      <alignment horizontal="center" wrapText="1"/>
    </xf>
    <xf numFmtId="0" fontId="2"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2" fillId="0" borderId="1" xfId="0" applyFont="1" applyBorder="1" applyAlignment="1">
      <alignment vertical="top" wrapText="1"/>
    </xf>
    <xf numFmtId="0" fontId="2" fillId="0" borderId="1" xfId="0" applyFont="1" applyBorder="1" applyAlignment="1">
      <alignment horizontal="left" vertical="top" wrapText="1" indent="1"/>
    </xf>
    <xf numFmtId="0" fontId="2" fillId="0" borderId="1" xfId="0" applyFont="1" applyBorder="1" applyAlignment="1">
      <alignment horizontal="left" wrapText="1" indent="1"/>
    </xf>
    <xf numFmtId="0" fontId="12" fillId="0" borderId="1" xfId="0" applyFont="1" applyBorder="1" applyAlignment="1">
      <alignment horizontal="left" wrapText="1"/>
    </xf>
    <xf numFmtId="3" fontId="2" fillId="0" borderId="1" xfId="0" applyNumberFormat="1" applyFont="1" applyBorder="1" applyAlignment="1">
      <alignment horizontal="center" wrapText="1"/>
    </xf>
    <xf numFmtId="0" fontId="21" fillId="0" borderId="1" xfId="0" applyFont="1" applyBorder="1" applyAlignment="1">
      <alignment wrapText="1"/>
    </xf>
    <xf numFmtId="165" fontId="2" fillId="0" borderId="1" xfId="0" applyNumberFormat="1" applyFont="1" applyBorder="1" applyAlignment="1">
      <alignment horizontal="center" vertical="top" wrapText="1"/>
    </xf>
    <xf numFmtId="0" fontId="2" fillId="0" borderId="8" xfId="0" applyFont="1" applyBorder="1"/>
    <xf numFmtId="0" fontId="2" fillId="8" borderId="3" xfId="0" applyFont="1" applyFill="1" applyBorder="1" applyAlignment="1">
      <alignment horizontal="center"/>
    </xf>
    <xf numFmtId="165" fontId="2" fillId="0" borderId="35" xfId="0" applyNumberFormat="1" applyFont="1" applyBorder="1" applyAlignment="1">
      <alignment horizontal="center"/>
    </xf>
    <xf numFmtId="3" fontId="2" fillId="0" borderId="0" xfId="0" applyNumberFormat="1" applyFont="1" applyAlignment="1">
      <alignment vertical="top"/>
    </xf>
    <xf numFmtId="1" fontId="2" fillId="0" borderId="0" xfId="0" applyNumberFormat="1" applyFont="1" applyAlignment="1">
      <alignment horizontal="center"/>
    </xf>
    <xf numFmtId="0" fontId="2" fillId="7" borderId="5" xfId="0" applyFont="1" applyFill="1" applyBorder="1"/>
    <xf numFmtId="0" fontId="2" fillId="0" borderId="41" xfId="0" applyFont="1" applyBorder="1"/>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10" fontId="1" fillId="0" borderId="0" xfId="0" applyNumberFormat="1" applyFont="1"/>
    <xf numFmtId="10" fontId="2" fillId="7" borderId="0" xfId="0" applyNumberFormat="1" applyFont="1" applyFill="1" applyAlignment="1">
      <alignment horizontal="center" vertical="center"/>
    </xf>
    <xf numFmtId="168" fontId="2" fillId="8" borderId="0" xfId="0" applyNumberFormat="1" applyFont="1" applyFill="1" applyAlignment="1">
      <alignment horizontal="center" vertical="center"/>
    </xf>
    <xf numFmtId="10" fontId="2"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2" xfId="0" applyFont="1" applyBorder="1" applyAlignment="1">
      <alignment horizontal="left"/>
    </xf>
    <xf numFmtId="0" fontId="7"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2" fillId="7" borderId="4" xfId="0" applyFont="1" applyFill="1" applyBorder="1"/>
    <xf numFmtId="165" fontId="2" fillId="8" borderId="2" xfId="0" applyNumberFormat="1" applyFont="1" applyFill="1" applyBorder="1" applyAlignment="1">
      <alignment horizontal="center"/>
    </xf>
    <xf numFmtId="168" fontId="2" fillId="17" borderId="0" xfId="0" applyNumberFormat="1" applyFont="1" applyFill="1"/>
    <xf numFmtId="1" fontId="2" fillId="0" borderId="0" xfId="0" applyNumberFormat="1" applyFont="1"/>
    <xf numFmtId="1" fontId="2" fillId="17" borderId="0" xfId="0" applyNumberFormat="1" applyFont="1" applyFill="1"/>
    <xf numFmtId="0" fontId="2" fillId="7" borderId="7"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8" xfId="0" applyFont="1" applyFill="1" applyBorder="1" applyAlignment="1">
      <alignment horizontal="center" vertical="center"/>
    </xf>
    <xf numFmtId="165" fontId="2"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4"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2" fillId="0" borderId="2" xfId="0" applyNumberFormat="1" applyFont="1" applyBorder="1" applyAlignment="1">
      <alignment horizontal="center" vertical="center"/>
    </xf>
    <xf numFmtId="3" fontId="2" fillId="0" borderId="0" xfId="0" applyNumberFormat="1" applyFont="1" applyAlignment="1">
      <alignment horizontal="center" vertical="center"/>
    </xf>
    <xf numFmtId="168" fontId="2" fillId="0" borderId="0" xfId="0" applyNumberFormat="1" applyFont="1" applyAlignment="1">
      <alignment horizontal="center" vertical="center"/>
    </xf>
    <xf numFmtId="3" fontId="2"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2" fillId="13" borderId="0" xfId="0" applyNumberFormat="1" applyFont="1" applyFill="1" applyAlignment="1">
      <alignment horizontal="center"/>
    </xf>
    <xf numFmtId="3" fontId="21" fillId="8" borderId="0" xfId="0" applyNumberFormat="1" applyFont="1" applyFill="1" applyAlignment="1">
      <alignment horizontal="center"/>
    </xf>
    <xf numFmtId="3" fontId="2" fillId="0" borderId="35" xfId="0" applyNumberFormat="1" applyFont="1" applyBorder="1" applyAlignment="1">
      <alignment horizontal="center"/>
    </xf>
    <xf numFmtId="165" fontId="2" fillId="0" borderId="5" xfId="0" applyNumberFormat="1" applyFont="1" applyBorder="1" applyAlignment="1">
      <alignment horizontal="center"/>
    </xf>
    <xf numFmtId="165" fontId="2" fillId="0" borderId="2" xfId="0" applyNumberFormat="1" applyFont="1" applyBorder="1" applyAlignment="1">
      <alignment horizontal="center"/>
    </xf>
    <xf numFmtId="0" fontId="2" fillId="0" borderId="0" xfId="0" applyFont="1" applyAlignment="1">
      <alignment horizontal="center" vertical="center" wrapText="1"/>
    </xf>
    <xf numFmtId="165" fontId="2" fillId="0" borderId="0" xfId="0" applyNumberFormat="1" applyFont="1" applyAlignment="1">
      <alignment horizontal="center" vertical="center"/>
    </xf>
    <xf numFmtId="168" fontId="2" fillId="7" borderId="0" xfId="0" applyNumberFormat="1" applyFont="1" applyFill="1" applyAlignment="1">
      <alignment horizontal="center" vertical="center"/>
    </xf>
    <xf numFmtId="0" fontId="24" fillId="0" borderId="4" xfId="0" applyFont="1" applyBorder="1" applyAlignment="1">
      <alignment horizontal="center" vertical="center" wrapText="1"/>
    </xf>
    <xf numFmtId="0" fontId="2" fillId="0" borderId="35" xfId="0" applyFont="1" applyBorder="1" applyAlignment="1">
      <alignment horizontal="center" vertical="center"/>
    </xf>
    <xf numFmtId="3" fontId="2" fillId="0" borderId="35" xfId="0" applyNumberFormat="1" applyFont="1" applyBorder="1" applyAlignment="1">
      <alignment horizontal="center" vertical="center"/>
    </xf>
    <xf numFmtId="3" fontId="2"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2" fillId="7" borderId="3"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3" fontId="2" fillId="8" borderId="2"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35" xfId="0" applyFont="1" applyBorder="1" applyAlignment="1">
      <alignment horizontal="left"/>
    </xf>
    <xf numFmtId="165" fontId="2" fillId="2" borderId="35" xfId="0" applyNumberFormat="1" applyFont="1" applyFill="1" applyBorder="1" applyAlignment="1">
      <alignment horizontal="center"/>
    </xf>
    <xf numFmtId="168" fontId="12" fillId="0" borderId="0" xfId="0" applyNumberFormat="1" applyFont="1"/>
    <xf numFmtId="170" fontId="2" fillId="0" borderId="0" xfId="0" applyNumberFormat="1" applyFont="1" applyAlignment="1">
      <alignment horizontal="center"/>
    </xf>
    <xf numFmtId="3" fontId="2" fillId="0" borderId="2" xfId="0" applyNumberFormat="1" applyFont="1" applyBorder="1" applyAlignment="1">
      <alignment horizontal="center"/>
    </xf>
    <xf numFmtId="165" fontId="2" fillId="0" borderId="0" xfId="0" applyNumberFormat="1" applyFont="1"/>
    <xf numFmtId="0" fontId="2" fillId="0" borderId="4" xfId="0" applyFont="1" applyBorder="1" applyAlignment="1">
      <alignment wrapText="1"/>
    </xf>
    <xf numFmtId="0" fontId="2" fillId="0" borderId="7"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2" fillId="0" borderId="2" xfId="0" applyFont="1" applyBorder="1" applyAlignment="1">
      <alignment horizontal="center" wrapText="1"/>
    </xf>
    <xf numFmtId="168" fontId="2" fillId="0" borderId="0" xfId="0" applyNumberFormat="1" applyFont="1" applyAlignment="1">
      <alignment horizontal="center"/>
    </xf>
    <xf numFmtId="0" fontId="12" fillId="0" borderId="4" xfId="0" applyFont="1" applyBorder="1" applyAlignment="1">
      <alignment horizontal="center" vertical="top" wrapText="1"/>
    </xf>
    <xf numFmtId="0" fontId="12" fillId="0" borderId="0" xfId="0" applyFont="1" applyAlignment="1">
      <alignment horizontal="center" wrapText="1"/>
    </xf>
    <xf numFmtId="3" fontId="2"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2" xfId="0" applyNumberFormat="1" applyFont="1" applyBorder="1" applyAlignment="1">
      <alignment horizontal="center" wrapText="1"/>
    </xf>
    <xf numFmtId="0" fontId="3" fillId="0" borderId="0" xfId="0" applyFont="1"/>
    <xf numFmtId="0" fontId="1" fillId="0" borderId="35" xfId="0" applyFont="1" applyBorder="1"/>
    <xf numFmtId="3" fontId="12" fillId="0" borderId="0" xfId="0" applyNumberFormat="1" applyFont="1" applyAlignment="1">
      <alignment horizontal="center" wrapText="1"/>
    </xf>
    <xf numFmtId="3" fontId="12" fillId="0" borderId="2" xfId="0" applyNumberFormat="1" applyFont="1" applyBorder="1" applyAlignment="1">
      <alignment horizontal="center" wrapText="1"/>
    </xf>
    <xf numFmtId="0" fontId="1" fillId="16"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2"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2" xfId="0" applyNumberFormat="1" applyFont="1" applyBorder="1" applyAlignment="1">
      <alignment horizontal="center"/>
    </xf>
    <xf numFmtId="3" fontId="2" fillId="8" borderId="35" xfId="0" applyNumberFormat="1" applyFont="1" applyFill="1" applyBorder="1" applyAlignment="1">
      <alignment horizontal="center" wrapText="1"/>
    </xf>
    <xf numFmtId="1" fontId="2"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3" borderId="0" xfId="0" applyNumberFormat="1" applyFont="1" applyFill="1"/>
    <xf numFmtId="3" fontId="21" fillId="13" borderId="0" xfId="0" applyNumberFormat="1" applyFont="1" applyFill="1" applyAlignment="1">
      <alignment horizontal="center"/>
    </xf>
    <xf numFmtId="0" fontId="25" fillId="0" borderId="1" xfId="0" applyFont="1" applyBorder="1" applyAlignment="1">
      <alignment horizontal="left" indent="2"/>
    </xf>
    <xf numFmtId="3" fontId="12" fillId="8" borderId="2"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2" fillId="0" borderId="7" xfId="0" applyFont="1" applyBorder="1" applyAlignment="1">
      <alignment wrapText="1"/>
    </xf>
    <xf numFmtId="0" fontId="2" fillId="0" borderId="2" xfId="0" applyFont="1" applyBorder="1" applyAlignment="1">
      <alignment wrapText="1"/>
    </xf>
    <xf numFmtId="171" fontId="2"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2" fillId="0" borderId="2"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2" fillId="0" borderId="35" xfId="0" applyNumberFormat="1" applyFont="1" applyBorder="1" applyAlignment="1">
      <alignment horizontal="center" wrapText="1"/>
    </xf>
    <xf numFmtId="1" fontId="2" fillId="7" borderId="35" xfId="0" applyNumberFormat="1" applyFont="1" applyFill="1" applyBorder="1" applyAlignment="1">
      <alignment horizontal="center" wrapText="1"/>
    </xf>
    <xf numFmtId="0" fontId="21" fillId="0" borderId="7" xfId="0" applyFont="1" applyBorder="1"/>
    <xf numFmtId="0" fontId="21" fillId="0" borderId="2" xfId="0" applyFont="1" applyBorder="1"/>
    <xf numFmtId="1" fontId="21" fillId="0" borderId="0" xfId="0" applyNumberFormat="1" applyFont="1" applyAlignment="1">
      <alignment horizontal="center"/>
    </xf>
    <xf numFmtId="1" fontId="21" fillId="8" borderId="2" xfId="0" applyNumberFormat="1" applyFont="1" applyFill="1" applyBorder="1" applyAlignment="1">
      <alignment horizontal="center"/>
    </xf>
    <xf numFmtId="0" fontId="25" fillId="0" borderId="1" xfId="0" applyFont="1" applyBorder="1" applyAlignment="1">
      <alignment horizontal="left" indent="5"/>
    </xf>
    <xf numFmtId="0" fontId="2" fillId="0" borderId="1" xfId="0" applyFont="1" applyBorder="1" applyAlignment="1">
      <alignment horizontal="left" vertical="top" wrapText="1" indent="5"/>
    </xf>
    <xf numFmtId="168" fontId="2" fillId="7" borderId="0" xfId="0" applyNumberFormat="1" applyFont="1" applyFill="1" applyAlignment="1">
      <alignment horizontal="center" wrapText="1"/>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3" xfId="0" applyFont="1" applyBorder="1" applyAlignment="1">
      <alignment horizontal="left" wrapText="1" indent="3"/>
    </xf>
    <xf numFmtId="0" fontId="2" fillId="0" borderId="2" xfId="0" applyFont="1" applyBorder="1" applyAlignment="1">
      <alignment horizontal="center"/>
    </xf>
    <xf numFmtId="0" fontId="2" fillId="0" borderId="5" xfId="0" applyFont="1" applyBorder="1"/>
    <xf numFmtId="3" fontId="2" fillId="0" borderId="3" xfId="0" applyNumberFormat="1" applyFont="1" applyBorder="1" applyAlignment="1">
      <alignment horizontal="right"/>
    </xf>
    <xf numFmtId="0" fontId="2" fillId="0" borderId="3" xfId="0" applyFont="1" applyBorder="1" applyAlignment="1">
      <alignment horizontal="center"/>
    </xf>
    <xf numFmtId="0" fontId="2" fillId="0" borderId="7" xfId="0" applyFont="1" applyBorder="1"/>
    <xf numFmtId="0" fontId="2" fillId="0" borderId="1" xfId="0" applyFont="1" applyBorder="1"/>
    <xf numFmtId="168" fontId="21" fillId="0" borderId="0" xfId="0" applyNumberFormat="1" applyFont="1" applyAlignment="1">
      <alignment horizontal="center"/>
    </xf>
    <xf numFmtId="168" fontId="2" fillId="0" borderId="2" xfId="0" applyNumberFormat="1" applyFont="1" applyBorder="1" applyAlignment="1">
      <alignment horizontal="center"/>
    </xf>
    <xf numFmtId="168" fontId="21" fillId="8" borderId="0" xfId="0" applyNumberFormat="1" applyFont="1" applyFill="1" applyAlignment="1">
      <alignment horizontal="center"/>
    </xf>
    <xf numFmtId="168" fontId="2" fillId="7" borderId="0" xfId="0" applyNumberFormat="1" applyFont="1" applyFill="1" applyAlignment="1">
      <alignment horizontal="center"/>
    </xf>
    <xf numFmtId="169" fontId="2" fillId="0" borderId="0" xfId="0" applyNumberFormat="1" applyFont="1" applyAlignment="1">
      <alignment horizontal="center"/>
    </xf>
    <xf numFmtId="168" fontId="2" fillId="7" borderId="5" xfId="0" applyNumberFormat="1" applyFont="1" applyFill="1" applyBorder="1" applyAlignment="1">
      <alignment horizontal="center"/>
    </xf>
    <xf numFmtId="168" fontId="21" fillId="7" borderId="5" xfId="0" applyNumberFormat="1" applyFont="1" applyFill="1" applyBorder="1" applyAlignment="1">
      <alignment horizontal="center"/>
    </xf>
    <xf numFmtId="0" fontId="2" fillId="0" borderId="4" xfId="0" applyFont="1" applyBorder="1"/>
    <xf numFmtId="0" fontId="2" fillId="9" borderId="35" xfId="0" applyFont="1" applyFill="1" applyBorder="1" applyAlignment="1">
      <alignment horizontal="center"/>
    </xf>
    <xf numFmtId="0" fontId="2" fillId="9" borderId="6" xfId="0" applyFont="1" applyFill="1" applyBorder="1" applyAlignment="1">
      <alignment horizontal="center"/>
    </xf>
    <xf numFmtId="0" fontId="2" fillId="0" borderId="8" xfId="0" applyFont="1" applyBorder="1" applyAlignment="1">
      <alignment horizontal="center"/>
    </xf>
    <xf numFmtId="168" fontId="2" fillId="0" borderId="35" xfId="0" applyNumberFormat="1" applyFont="1" applyBorder="1" applyAlignment="1">
      <alignment horizontal="center"/>
    </xf>
    <xf numFmtId="168" fontId="2" fillId="7" borderId="35" xfId="0" applyNumberFormat="1" applyFont="1" applyFill="1" applyBorder="1" applyAlignment="1">
      <alignment horizontal="center"/>
    </xf>
    <xf numFmtId="168" fontId="21" fillId="0" borderId="4"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2" fillId="0" borderId="2" xfId="0" applyNumberFormat="1" applyFont="1" applyBorder="1" applyAlignment="1">
      <alignment horizontal="center"/>
    </xf>
    <xf numFmtId="0" fontId="21" fillId="0" borderId="1" xfId="0" applyFont="1" applyBorder="1"/>
    <xf numFmtId="172" fontId="2" fillId="0" borderId="0" xfId="0" applyNumberFormat="1" applyFont="1"/>
    <xf numFmtId="0" fontId="12" fillId="3" borderId="41" xfId="0" applyFont="1" applyFill="1" applyBorder="1"/>
    <xf numFmtId="0" fontId="12" fillId="3" borderId="36" xfId="0" applyFont="1" applyFill="1" applyBorder="1"/>
    <xf numFmtId="0" fontId="12" fillId="3" borderId="33" xfId="0" applyFont="1" applyFill="1" applyBorder="1"/>
    <xf numFmtId="0" fontId="12" fillId="3" borderId="36" xfId="0" applyFont="1" applyFill="1" applyBorder="1" applyAlignment="1">
      <alignment horizontal="center"/>
    </xf>
    <xf numFmtId="0" fontId="12" fillId="3" borderId="33" xfId="0" applyFont="1" applyFill="1" applyBorder="1" applyAlignment="1">
      <alignment horizontal="center"/>
    </xf>
    <xf numFmtId="168" fontId="2" fillId="8" borderId="2"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2" fillId="0" borderId="1" xfId="0" applyNumberFormat="1" applyFont="1" applyBorder="1" applyAlignment="1">
      <alignment horizontal="center"/>
    </xf>
    <xf numFmtId="168" fontId="2" fillId="0" borderId="7" xfId="0" applyNumberFormat="1" applyFont="1" applyBorder="1" applyAlignment="1">
      <alignment horizontal="center"/>
    </xf>
    <xf numFmtId="169" fontId="2" fillId="0" borderId="7" xfId="0" applyNumberFormat="1" applyFont="1" applyBorder="1" applyAlignment="1">
      <alignment horizontal="center"/>
    </xf>
    <xf numFmtId="0" fontId="12" fillId="0" borderId="0" xfId="0" applyFont="1" applyAlignment="1">
      <alignment vertical="top" wrapText="1"/>
    </xf>
    <xf numFmtId="169" fontId="2" fillId="8" borderId="2" xfId="0" applyNumberFormat="1" applyFont="1" applyFill="1" applyBorder="1" applyAlignment="1">
      <alignment horizontal="center"/>
    </xf>
    <xf numFmtId="0" fontId="2" fillId="12" borderId="36" xfId="0" applyFont="1" applyFill="1" applyBorder="1"/>
    <xf numFmtId="0" fontId="2" fillId="12" borderId="33" xfId="0" applyFont="1" applyFill="1" applyBorder="1"/>
    <xf numFmtId="0" fontId="1" fillId="7" borderId="37" xfId="0" applyFont="1" applyFill="1" applyBorder="1"/>
    <xf numFmtId="2" fontId="2" fillId="0" borderId="5" xfId="0" applyNumberFormat="1" applyFont="1" applyBorder="1" applyAlignment="1">
      <alignment horizontal="center"/>
    </xf>
    <xf numFmtId="2" fontId="2"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2" fillId="0" borderId="0" xfId="0" applyNumberFormat="1" applyFont="1"/>
    <xf numFmtId="168" fontId="2" fillId="18" borderId="0" xfId="0" applyNumberFormat="1" applyFont="1" applyFill="1" applyAlignment="1">
      <alignment horizontal="center" wrapText="1"/>
    </xf>
    <xf numFmtId="169" fontId="2" fillId="15" borderId="2" xfId="0" applyNumberFormat="1" applyFont="1" applyFill="1" applyBorder="1" applyAlignment="1">
      <alignment horizontal="center"/>
    </xf>
    <xf numFmtId="2" fontId="2" fillId="0" borderId="0" xfId="0" applyNumberFormat="1" applyFont="1" applyAlignment="1">
      <alignment horizontal="right"/>
    </xf>
    <xf numFmtId="0" fontId="12" fillId="0" borderId="14" xfId="0" applyFont="1" applyBorder="1"/>
    <xf numFmtId="0" fontId="12" fillId="0" borderId="13" xfId="0" applyFont="1" applyBorder="1"/>
    <xf numFmtId="0" fontId="2" fillId="0" borderId="13" xfId="0" applyFont="1" applyBorder="1" applyAlignment="1">
      <alignment horizontal="right"/>
    </xf>
    <xf numFmtId="0" fontId="2" fillId="0" borderId="12" xfId="0" applyFont="1" applyBorder="1"/>
    <xf numFmtId="168" fontId="2" fillId="19" borderId="0" xfId="0" applyNumberFormat="1" applyFont="1" applyFill="1" applyAlignment="1">
      <alignment horizontal="center"/>
    </xf>
    <xf numFmtId="168" fontId="2" fillId="19" borderId="0" xfId="0" applyNumberFormat="1" applyFont="1" applyFill="1" applyAlignment="1">
      <alignment horizontal="center" wrapText="1"/>
    </xf>
    <xf numFmtId="169" fontId="2" fillId="11" borderId="2" xfId="0" applyNumberFormat="1" applyFont="1" applyFill="1" applyBorder="1" applyAlignment="1">
      <alignment horizontal="center"/>
    </xf>
    <xf numFmtId="0" fontId="1" fillId="19" borderId="0" xfId="0" applyFont="1" applyFill="1"/>
    <xf numFmtId="0" fontId="2" fillId="0" borderId="0" xfId="0" applyFont="1" applyAlignment="1">
      <alignment horizontal="left" indent="4"/>
    </xf>
    <xf numFmtId="169" fontId="2" fillId="0" borderId="2" xfId="0" applyNumberFormat="1" applyFont="1" applyBorder="1"/>
    <xf numFmtId="0" fontId="2" fillId="0" borderId="7" xfId="0" applyFont="1" applyBorder="1" applyAlignment="1">
      <alignment horizontal="left" indent="4"/>
    </xf>
    <xf numFmtId="3" fontId="30" fillId="0" borderId="0" xfId="0" applyNumberFormat="1" applyFont="1"/>
    <xf numFmtId="173" fontId="2" fillId="0" borderId="0" xfId="0" applyNumberFormat="1" applyFont="1"/>
    <xf numFmtId="0" fontId="2" fillId="12" borderId="4" xfId="0" applyFont="1" applyFill="1" applyBorder="1"/>
    <xf numFmtId="0" fontId="2" fillId="12" borderId="5" xfId="0" applyFont="1" applyFill="1" applyBorder="1"/>
    <xf numFmtId="0" fontId="2" fillId="19" borderId="1" xfId="0" applyFont="1" applyFill="1" applyBorder="1" applyAlignment="1">
      <alignment horizontal="left" vertical="top" wrapText="1" indent="3"/>
    </xf>
    <xf numFmtId="168" fontId="2" fillId="19" borderId="1" xfId="0" applyNumberFormat="1" applyFont="1" applyFill="1" applyBorder="1" applyAlignment="1">
      <alignment horizontal="center"/>
    </xf>
    <xf numFmtId="0" fontId="2" fillId="0" borderId="13" xfId="0" applyFont="1" applyBorder="1"/>
    <xf numFmtId="2" fontId="2" fillId="0" borderId="0" xfId="0" applyNumberFormat="1" applyFont="1" applyAlignment="1">
      <alignment horizontal="center"/>
    </xf>
    <xf numFmtId="2" fontId="2" fillId="0" borderId="34" xfId="0" applyNumberFormat="1" applyFont="1" applyBorder="1" applyAlignment="1">
      <alignment horizontal="center"/>
    </xf>
    <xf numFmtId="0" fontId="12" fillId="8" borderId="0" xfId="0" applyFont="1" applyFill="1" applyAlignment="1">
      <alignment horizontal="center"/>
    </xf>
    <xf numFmtId="0" fontId="2" fillId="8" borderId="5" xfId="0" applyFont="1" applyFill="1" applyBorder="1"/>
    <xf numFmtId="0" fontId="21" fillId="0" borderId="0" xfId="0" applyFont="1" applyAlignment="1">
      <alignment horizontal="center"/>
    </xf>
    <xf numFmtId="10" fontId="2"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19" borderId="35" xfId="0" applyNumberFormat="1" applyFont="1" applyFill="1" applyBorder="1" applyAlignment="1">
      <alignment horizontal="center"/>
    </xf>
    <xf numFmtId="0" fontId="1" fillId="19" borderId="0" xfId="0" applyFont="1" applyFill="1" applyAlignment="1">
      <alignment horizontal="center"/>
    </xf>
    <xf numFmtId="10" fontId="1" fillId="19" borderId="0" xfId="0" applyNumberFormat="1" applyFont="1" applyFill="1" applyAlignment="1">
      <alignment horizontal="center"/>
    </xf>
    <xf numFmtId="10" fontId="2" fillId="19" borderId="5" xfId="0" applyNumberFormat="1" applyFont="1" applyFill="1" applyBorder="1"/>
    <xf numFmtId="10" fontId="2" fillId="19" borderId="4" xfId="0" applyNumberFormat="1" applyFont="1" applyFill="1" applyBorder="1"/>
    <xf numFmtId="10" fontId="2" fillId="19" borderId="5" xfId="0" applyNumberFormat="1" applyFont="1" applyFill="1" applyBorder="1" applyAlignment="1">
      <alignment horizontal="center"/>
    </xf>
    <xf numFmtId="10" fontId="1" fillId="19" borderId="5" xfId="0" applyNumberFormat="1" applyFont="1" applyFill="1" applyBorder="1" applyAlignment="1">
      <alignment horizontal="center"/>
    </xf>
    <xf numFmtId="0" fontId="21" fillId="19" borderId="0" xfId="0" applyFont="1" applyFill="1"/>
    <xf numFmtId="0" fontId="21" fillId="19" borderId="1" xfId="0" applyFont="1" applyFill="1" applyBorder="1"/>
    <xf numFmtId="0" fontId="21" fillId="19" borderId="0" xfId="0" applyFont="1" applyFill="1" applyAlignment="1">
      <alignment horizontal="center"/>
    </xf>
    <xf numFmtId="0" fontId="21" fillId="19" borderId="2" xfId="0" applyFont="1" applyFill="1" applyBorder="1"/>
    <xf numFmtId="0" fontId="21" fillId="19" borderId="7" xfId="0" applyFont="1" applyFill="1" applyBorder="1"/>
    <xf numFmtId="0" fontId="21" fillId="19" borderId="2" xfId="0" applyFont="1" applyFill="1" applyBorder="1" applyAlignment="1">
      <alignment horizontal="center"/>
    </xf>
    <xf numFmtId="0" fontId="1" fillId="19" borderId="2" xfId="0" applyFont="1" applyFill="1" applyBorder="1" applyAlignment="1">
      <alignment horizontal="center"/>
    </xf>
    <xf numFmtId="1" fontId="1" fillId="19" borderId="2" xfId="0" applyNumberFormat="1" applyFont="1" applyFill="1" applyBorder="1" applyAlignment="1">
      <alignment horizontal="center"/>
    </xf>
    <xf numFmtId="0" fontId="1" fillId="0" borderId="2" xfId="0" applyFont="1" applyBorder="1" applyAlignment="1">
      <alignment horizontal="center"/>
    </xf>
    <xf numFmtId="0" fontId="21" fillId="0" borderId="2" xfId="0" applyFont="1" applyBorder="1" applyAlignment="1">
      <alignment horizontal="center"/>
    </xf>
    <xf numFmtId="10" fontId="2" fillId="0" borderId="5" xfId="0" applyNumberFormat="1" applyFont="1" applyBorder="1"/>
    <xf numFmtId="10" fontId="2" fillId="0" borderId="4" xfId="0" applyNumberFormat="1" applyFont="1" applyBorder="1"/>
    <xf numFmtId="10" fontId="2" fillId="0" borderId="5" xfId="0" applyNumberFormat="1" applyFont="1" applyBorder="1" applyAlignment="1">
      <alignment horizontal="center"/>
    </xf>
    <xf numFmtId="1" fontId="1" fillId="0" borderId="2" xfId="0" applyNumberFormat="1" applyFont="1" applyBorder="1" applyAlignment="1">
      <alignment horizontal="center"/>
    </xf>
    <xf numFmtId="0" fontId="12" fillId="0" borderId="4" xfId="0" applyFont="1" applyBorder="1" applyAlignment="1">
      <alignment horizontal="center"/>
    </xf>
    <xf numFmtId="0" fontId="2" fillId="20" borderId="41" xfId="0" applyFont="1" applyFill="1" applyBorder="1" applyAlignment="1">
      <alignment wrapText="1"/>
    </xf>
    <xf numFmtId="0" fontId="2" fillId="20" borderId="36" xfId="0" applyFont="1" applyFill="1" applyBorder="1"/>
    <xf numFmtId="1" fontId="2" fillId="20" borderId="36" xfId="0" applyNumberFormat="1" applyFont="1" applyFill="1" applyBorder="1"/>
    <xf numFmtId="0" fontId="1" fillId="8" borderId="2" xfId="0" applyFont="1" applyFill="1" applyBorder="1"/>
    <xf numFmtId="168" fontId="2" fillId="8" borderId="0" xfId="0" applyNumberFormat="1" applyFont="1" applyFill="1" applyAlignment="1">
      <alignment horizontal="center"/>
    </xf>
    <xf numFmtId="1" fontId="2" fillId="8" borderId="0" xfId="0" applyNumberFormat="1" applyFont="1" applyFill="1"/>
    <xf numFmtId="0" fontId="12" fillId="0" borderId="7"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2" fillId="0" borderId="32" xfId="0" applyNumberFormat="1" applyFont="1" applyBorder="1"/>
    <xf numFmtId="1" fontId="2" fillId="0" borderId="16" xfId="0" applyNumberFormat="1" applyFont="1" applyBorder="1"/>
    <xf numFmtId="167" fontId="2" fillId="0" borderId="16"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2" fillId="0" borderId="1" xfId="0" applyFont="1" applyBorder="1" applyAlignment="1">
      <alignment horizontal="left" indent="2"/>
    </xf>
    <xf numFmtId="0" fontId="32" fillId="0" borderId="1" xfId="0" applyFont="1" applyBorder="1" applyAlignment="1">
      <alignment horizontal="left" indent="1"/>
    </xf>
    <xf numFmtId="0" fontId="2" fillId="21" borderId="1" xfId="0" applyFont="1" applyFill="1" applyBorder="1" applyAlignment="1">
      <alignment horizontal="left"/>
    </xf>
    <xf numFmtId="0" fontId="2" fillId="21" borderId="4" xfId="0" applyFont="1" applyFill="1" applyBorder="1"/>
    <xf numFmtId="0" fontId="2" fillId="16" borderId="0" xfId="0" applyFont="1" applyFill="1" applyAlignment="1">
      <alignment horizontal="left" wrapText="1" indent="1"/>
    </xf>
    <xf numFmtId="168" fontId="12" fillId="8" borderId="0" xfId="0" applyNumberFormat="1" applyFont="1" applyFill="1" applyAlignment="1">
      <alignment horizontal="center"/>
    </xf>
    <xf numFmtId="0" fontId="2" fillId="0" borderId="0" xfId="0" applyFont="1" applyAlignment="1">
      <alignment horizontal="left" wrapText="1" indent="1"/>
    </xf>
    <xf numFmtId="1" fontId="2" fillId="7" borderId="0" xfId="0" applyNumberFormat="1" applyFont="1" applyFill="1"/>
    <xf numFmtId="1" fontId="2" fillId="3" borderId="0" xfId="0" applyNumberFormat="1" applyFont="1" applyFill="1"/>
    <xf numFmtId="167" fontId="2" fillId="7" borderId="16" xfId="0" applyNumberFormat="1" applyFont="1" applyFill="1" applyBorder="1"/>
    <xf numFmtId="167" fontId="2" fillId="0" borderId="0" xfId="0" applyNumberFormat="1" applyFont="1"/>
    <xf numFmtId="1" fontId="2" fillId="7" borderId="5" xfId="0" applyNumberFormat="1" applyFont="1" applyFill="1" applyBorder="1" applyAlignment="1">
      <alignment horizontal="center"/>
    </xf>
    <xf numFmtId="0" fontId="12" fillId="7" borderId="4"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2" xfId="0" applyNumberFormat="1" applyFont="1" applyBorder="1" applyAlignment="1">
      <alignment horizontal="center"/>
    </xf>
    <xf numFmtId="0" fontId="2" fillId="0" borderId="17" xfId="0" applyFont="1" applyBorder="1"/>
    <xf numFmtId="0" fontId="2" fillId="0" borderId="32" xfId="0" applyFont="1" applyBorder="1"/>
    <xf numFmtId="1" fontId="2" fillId="8" borderId="32" xfId="0" applyNumberFormat="1" applyFont="1" applyFill="1" applyBorder="1"/>
    <xf numFmtId="0" fontId="2" fillId="0" borderId="18" xfId="0" applyFont="1" applyBorder="1" applyAlignment="1">
      <alignment horizontal="left" wrapText="1" indent="1"/>
    </xf>
    <xf numFmtId="0" fontId="2" fillId="0" borderId="18" xfId="0" applyFont="1" applyBorder="1" applyAlignment="1">
      <alignment horizontal="left" wrapText="1" indent="2"/>
    </xf>
    <xf numFmtId="0" fontId="2" fillId="0" borderId="19" xfId="0" applyFont="1" applyBorder="1" applyAlignment="1">
      <alignment horizontal="left" wrapText="1" indent="2"/>
    </xf>
    <xf numFmtId="0" fontId="2" fillId="0" borderId="16" xfId="0" applyFont="1" applyBorder="1"/>
    <xf numFmtId="1" fontId="2" fillId="0" borderId="42" xfId="0" applyNumberFormat="1" applyFont="1" applyBorder="1"/>
    <xf numFmtId="1" fontId="2" fillId="3" borderId="32" xfId="0" applyNumberFormat="1" applyFont="1" applyFill="1" applyBorder="1"/>
    <xf numFmtId="1" fontId="2" fillId="22" borderId="32" xfId="0" applyNumberFormat="1" applyFont="1" applyFill="1" applyBorder="1"/>
    <xf numFmtId="1" fontId="2" fillId="22" borderId="0" xfId="0" applyNumberFormat="1" applyFont="1" applyFill="1"/>
    <xf numFmtId="1" fontId="2" fillId="0" borderId="43" xfId="0" applyNumberFormat="1" applyFont="1" applyBorder="1"/>
    <xf numFmtId="1" fontId="2" fillId="3" borderId="16" xfId="0" applyNumberFormat="1" applyFont="1" applyFill="1" applyBorder="1"/>
    <xf numFmtId="1" fontId="2" fillId="22" borderId="16" xfId="0" applyNumberFormat="1" applyFont="1" applyFill="1" applyBorder="1"/>
    <xf numFmtId="1" fontId="2" fillId="8" borderId="16" xfId="0" applyNumberFormat="1" applyFont="1" applyFill="1" applyBorder="1"/>
    <xf numFmtId="1" fontId="2" fillId="7" borderId="16" xfId="0" applyNumberFormat="1" applyFont="1" applyFill="1" applyBorder="1"/>
    <xf numFmtId="167" fontId="2" fillId="8" borderId="16" xfId="0" applyNumberFormat="1" applyFont="1" applyFill="1" applyBorder="1"/>
    <xf numFmtId="1" fontId="2" fillId="0" borderId="1" xfId="0" applyNumberFormat="1" applyFont="1" applyBorder="1"/>
    <xf numFmtId="0" fontId="2" fillId="0" borderId="7" xfId="0" applyFont="1" applyBorder="1" applyAlignment="1">
      <alignment horizontal="right"/>
    </xf>
    <xf numFmtId="0" fontId="2" fillId="0" borderId="7"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2" fillId="8" borderId="5" xfId="0" applyNumberFormat="1" applyFont="1" applyFill="1" applyBorder="1" applyAlignment="1">
      <alignment horizontal="center"/>
    </xf>
    <xf numFmtId="0" fontId="12" fillId="0" borderId="0" xfId="0" applyFont="1" applyAlignment="1">
      <alignment horizontal="left" indent="1"/>
    </xf>
    <xf numFmtId="1" fontId="2" fillId="8" borderId="35" xfId="0" applyNumberFormat="1" applyFont="1" applyFill="1" applyBorder="1"/>
    <xf numFmtId="0" fontId="1" fillId="0" borderId="0" xfId="0" applyFont="1" applyAlignment="1">
      <alignment horizontal="center" wrapText="1"/>
    </xf>
    <xf numFmtId="168" fontId="2" fillId="8" borderId="35" xfId="0" applyNumberFormat="1" applyFont="1" applyFill="1" applyBorder="1" applyAlignment="1">
      <alignment horizontal="center"/>
    </xf>
    <xf numFmtId="3" fontId="2" fillId="0" borderId="0" xfId="0" applyNumberFormat="1" applyFont="1"/>
    <xf numFmtId="3" fontId="2" fillId="0" borderId="5" xfId="0" applyNumberFormat="1" applyFont="1" applyBorder="1"/>
    <xf numFmtId="3" fontId="2" fillId="0" borderId="6" xfId="0" applyNumberFormat="1" applyFont="1" applyBorder="1"/>
    <xf numFmtId="3" fontId="2" fillId="0" borderId="1" xfId="0" applyNumberFormat="1" applyFont="1" applyBorder="1"/>
    <xf numFmtId="0" fontId="2" fillId="0" borderId="12" xfId="0" applyFont="1" applyBorder="1" applyAlignment="1">
      <alignment horizontal="left" wrapText="1" indent="8"/>
    </xf>
    <xf numFmtId="0" fontId="12" fillId="0" borderId="36" xfId="0" applyFont="1" applyBorder="1"/>
    <xf numFmtId="0" fontId="12" fillId="0" borderId="33" xfId="0" applyFont="1" applyBorder="1"/>
    <xf numFmtId="169" fontId="2" fillId="13" borderId="2" xfId="0" applyNumberFormat="1" applyFont="1" applyFill="1" applyBorder="1"/>
    <xf numFmtId="4" fontId="2" fillId="0" borderId="0" xfId="0" applyNumberFormat="1" applyFont="1"/>
    <xf numFmtId="3" fontId="2" fillId="0" borderId="3" xfId="0" applyNumberFormat="1" applyFont="1" applyBorder="1"/>
    <xf numFmtId="169" fontId="2" fillId="13" borderId="8" xfId="0" applyNumberFormat="1" applyFont="1" applyFill="1" applyBorder="1"/>
    <xf numFmtId="3" fontId="2" fillId="0" borderId="4" xfId="0" applyNumberFormat="1" applyFont="1" applyBorder="1"/>
    <xf numFmtId="0" fontId="2" fillId="8" borderId="3" xfId="0" applyFont="1" applyFill="1" applyBorder="1"/>
    <xf numFmtId="1" fontId="2" fillId="8" borderId="5" xfId="0" applyNumberFormat="1" applyFont="1" applyFill="1" applyBorder="1"/>
    <xf numFmtId="0" fontId="2" fillId="0" borderId="35" xfId="0" applyFont="1" applyBorder="1"/>
    <xf numFmtId="1" fontId="2" fillId="0" borderId="35" xfId="0" applyNumberFormat="1" applyFont="1" applyBorder="1"/>
    <xf numFmtId="168" fontId="2" fillId="0" borderId="6" xfId="0" applyNumberFormat="1" applyFont="1" applyBorder="1"/>
    <xf numFmtId="168" fontId="2"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2" fillId="8" borderId="3" xfId="0" applyNumberFormat="1" applyFont="1" applyFill="1" applyBorder="1" applyAlignment="1">
      <alignment horizontal="center"/>
    </xf>
    <xf numFmtId="0" fontId="2" fillId="8" borderId="4" xfId="0" applyFont="1" applyFill="1" applyBorder="1"/>
    <xf numFmtId="0" fontId="2" fillId="0" borderId="0" xfId="0" applyFont="1" applyAlignment="1">
      <alignment horizontal="right"/>
    </xf>
    <xf numFmtId="168" fontId="2" fillId="13" borderId="0" xfId="0" applyNumberFormat="1" applyFont="1" applyFill="1" applyAlignment="1">
      <alignment horizontal="center"/>
    </xf>
    <xf numFmtId="168" fontId="2" fillId="23" borderId="0" xfId="0" applyNumberFormat="1" applyFont="1" applyFill="1" applyAlignment="1">
      <alignment horizontal="center"/>
    </xf>
    <xf numFmtId="168" fontId="21" fillId="24" borderId="0" xfId="0" applyNumberFormat="1" applyFont="1" applyFill="1" applyAlignment="1">
      <alignment horizontal="center"/>
    </xf>
    <xf numFmtId="0" fontId="2" fillId="21" borderId="1" xfId="0" applyFont="1" applyFill="1" applyBorder="1" applyAlignment="1">
      <alignment horizontal="left" wrapText="1"/>
    </xf>
    <xf numFmtId="0" fontId="2" fillId="0" borderId="44" xfId="0" applyFont="1" applyBorder="1" applyAlignment="1">
      <alignment horizontal="left" indent="1"/>
    </xf>
    <xf numFmtId="0" fontId="12" fillId="0" borderId="44" xfId="0" applyFont="1" applyBorder="1" applyAlignment="1">
      <alignment horizontal="left"/>
    </xf>
    <xf numFmtId="168" fontId="12" fillId="8" borderId="3" xfId="0" applyNumberFormat="1" applyFont="1" applyFill="1" applyBorder="1" applyAlignment="1">
      <alignment horizontal="center"/>
    </xf>
    <xf numFmtId="0" fontId="1" fillId="0" borderId="6" xfId="0" applyFont="1" applyBorder="1"/>
    <xf numFmtId="0" fontId="1" fillId="0" borderId="4" xfId="0" applyFont="1" applyBorder="1"/>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7" xfId="0" applyFont="1" applyBorder="1" applyAlignment="1">
      <alignment horizontal="left"/>
    </xf>
    <xf numFmtId="0" fontId="1" fillId="0" borderId="4" xfId="0" applyFont="1" applyBorder="1" applyAlignment="1">
      <alignment horizontal="left"/>
    </xf>
    <xf numFmtId="0" fontId="33" fillId="0" borderId="0" xfId="0" applyFont="1" applyAlignment="1">
      <alignment horizontal="center"/>
    </xf>
    <xf numFmtId="174" fontId="1" fillId="0" borderId="0" xfId="0" applyNumberFormat="1" applyFont="1" applyAlignment="1">
      <alignment horizontal="center"/>
    </xf>
    <xf numFmtId="0" fontId="1" fillId="25"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6" borderId="0" xfId="0" applyNumberFormat="1" applyFont="1" applyFill="1"/>
    <xf numFmtId="0" fontId="7" fillId="26" borderId="0" xfId="0" applyFont="1" applyFill="1" applyAlignment="1">
      <alignment horizontal="center"/>
    </xf>
    <xf numFmtId="0" fontId="12" fillId="0" borderId="36" xfId="0" applyFont="1" applyBorder="1" applyAlignment="1">
      <alignment horizontal="center"/>
    </xf>
    <xf numFmtId="168" fontId="2" fillId="8" borderId="0" xfId="0" applyNumberFormat="1" applyFont="1" applyFill="1" applyAlignment="1">
      <alignment horizontal="center" vertical="top" wrapText="1"/>
    </xf>
    <xf numFmtId="0" fontId="2" fillId="19" borderId="8" xfId="0" applyFont="1" applyFill="1" applyBorder="1"/>
    <xf numFmtId="167" fontId="2" fillId="19" borderId="2" xfId="0" applyNumberFormat="1" applyFont="1" applyFill="1" applyBorder="1" applyAlignment="1">
      <alignment horizontal="center"/>
    </xf>
    <xf numFmtId="0" fontId="2" fillId="19" borderId="2" xfId="0" applyFont="1" applyFill="1" applyBorder="1" applyAlignment="1">
      <alignment horizontal="center"/>
    </xf>
    <xf numFmtId="0" fontId="12" fillId="0" borderId="4" xfId="0" applyFont="1" applyBorder="1"/>
    <xf numFmtId="0" fontId="34" fillId="0" borderId="4" xfId="0" applyFont="1" applyBorder="1" applyAlignment="1">
      <alignment wrapText="1"/>
    </xf>
    <xf numFmtId="165" fontId="4"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2" xfId="0" applyNumberFormat="1" applyFont="1" applyBorder="1" applyAlignment="1">
      <alignment horizontal="center"/>
    </xf>
    <xf numFmtId="175" fontId="34" fillId="14" borderId="35" xfId="0" applyNumberFormat="1" applyFont="1" applyFill="1" applyBorder="1" applyAlignment="1">
      <alignment horizontal="center"/>
    </xf>
    <xf numFmtId="1" fontId="2" fillId="0" borderId="2" xfId="0" applyNumberFormat="1" applyFont="1" applyBorder="1" applyAlignment="1">
      <alignment horizontal="center" vertical="center"/>
    </xf>
    <xf numFmtId="169" fontId="2" fillId="0" borderId="35" xfId="0" applyNumberFormat="1" applyFont="1" applyBorder="1"/>
    <xf numFmtId="168" fontId="21" fillId="0" borderId="0" xfId="0" applyNumberFormat="1" applyFont="1"/>
    <xf numFmtId="1" fontId="2" fillId="8" borderId="6" xfId="0" applyNumberFormat="1" applyFont="1" applyFill="1" applyBorder="1" applyAlignment="1">
      <alignment horizontal="center"/>
    </xf>
    <xf numFmtId="1" fontId="2" fillId="8" borderId="35" xfId="0" applyNumberFormat="1" applyFont="1" applyFill="1" applyBorder="1" applyAlignment="1">
      <alignment horizontal="center"/>
    </xf>
    <xf numFmtId="168" fontId="2" fillId="0" borderId="1" xfId="0" applyNumberFormat="1" applyFont="1" applyBorder="1" applyAlignment="1">
      <alignment horizontal="center" vertical="top" wrapText="1"/>
    </xf>
    <xf numFmtId="1" fontId="2" fillId="0" borderId="2" xfId="0" applyNumberFormat="1" applyFont="1" applyBorder="1"/>
    <xf numFmtId="1" fontId="2" fillId="8" borderId="2" xfId="0" applyNumberFormat="1" applyFont="1" applyFill="1" applyBorder="1"/>
    <xf numFmtId="168" fontId="21" fillId="27" borderId="0" xfId="0" applyNumberFormat="1" applyFont="1" applyFill="1" applyAlignment="1">
      <alignment horizontal="center" vertical="top" wrapText="1"/>
    </xf>
    <xf numFmtId="1" fontId="2"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2" fillId="0" borderId="16"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2" fillId="0" borderId="35" xfId="0" applyNumberFormat="1" applyFont="1" applyBorder="1" applyAlignment="1">
      <alignment horizontal="right" vertical="top" wrapText="1"/>
    </xf>
    <xf numFmtId="10" fontId="2" fillId="0" borderId="0" xfId="0" applyNumberFormat="1" applyFont="1"/>
    <xf numFmtId="0" fontId="2" fillId="0" borderId="7" xfId="0" applyFont="1" applyBorder="1" applyAlignment="1">
      <alignment horizontal="left" indent="1"/>
    </xf>
    <xf numFmtId="9" fontId="2" fillId="0" borderId="2" xfId="0" applyNumberFormat="1" applyFont="1" applyBorder="1"/>
    <xf numFmtId="2" fontId="2" fillId="0" borderId="2" xfId="0" applyNumberFormat="1" applyFont="1" applyBorder="1" applyAlignment="1">
      <alignment horizontal="center"/>
    </xf>
    <xf numFmtId="167" fontId="2" fillId="0" borderId="7" xfId="0" applyNumberFormat="1" applyFont="1" applyBorder="1" applyAlignment="1">
      <alignment horizontal="center"/>
    </xf>
    <xf numFmtId="167" fontId="2" fillId="0" borderId="2" xfId="0" applyNumberFormat="1" applyFont="1" applyBorder="1" applyAlignment="1">
      <alignment horizontal="center"/>
    </xf>
    <xf numFmtId="1" fontId="2" fillId="0" borderId="1" xfId="0" applyNumberFormat="1" applyFont="1" applyBorder="1" applyAlignment="1">
      <alignment horizontal="center"/>
    </xf>
    <xf numFmtId="0" fontId="2" fillId="0" borderId="6" xfId="0" applyFont="1" applyBorder="1" applyAlignment="1">
      <alignment horizontal="center"/>
    </xf>
    <xf numFmtId="0" fontId="25" fillId="0" borderId="1" xfId="0" applyFont="1" applyBorder="1" applyAlignment="1">
      <alignment wrapText="1"/>
    </xf>
    <xf numFmtId="167" fontId="2" fillId="7" borderId="3" xfId="0" applyNumberFormat="1" applyFont="1" applyFill="1" applyBorder="1" applyAlignment="1">
      <alignment horizontal="center"/>
    </xf>
    <xf numFmtId="167" fontId="2" fillId="7" borderId="2" xfId="0" applyNumberFormat="1" applyFont="1" applyFill="1" applyBorder="1" applyAlignment="1">
      <alignment horizontal="center"/>
    </xf>
    <xf numFmtId="1" fontId="2" fillId="0" borderId="2" xfId="0" applyNumberFormat="1" applyFont="1" applyBorder="1" applyAlignment="1">
      <alignment horizontal="center"/>
    </xf>
    <xf numFmtId="167" fontId="2"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2" fillId="0" borderId="16" xfId="0" applyNumberFormat="1" applyFont="1" applyBorder="1" applyAlignment="1">
      <alignment horizontal="center" vertical="top" wrapText="1"/>
    </xf>
    <xf numFmtId="0" fontId="2" fillId="0" borderId="4"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25" fillId="0" borderId="0" xfId="0" applyFont="1"/>
    <xf numFmtId="0" fontId="36" fillId="0" borderId="1" xfId="0" applyFont="1" applyBorder="1" applyAlignment="1">
      <alignment horizontal="left"/>
    </xf>
    <xf numFmtId="167" fontId="21" fillId="0" borderId="0" xfId="0" applyNumberFormat="1" applyFont="1"/>
    <xf numFmtId="0" fontId="21" fillId="0" borderId="7" xfId="0" applyFont="1" applyBorder="1" applyAlignment="1">
      <alignment horizontal="left" vertical="top" wrapText="1"/>
    </xf>
    <xf numFmtId="0" fontId="2" fillId="0" borderId="45"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2" fillId="0" borderId="0" xfId="0" applyNumberFormat="1" applyFont="1" applyAlignment="1">
      <alignment horizontal="center" vertical="top" wrapText="1"/>
    </xf>
    <xf numFmtId="1" fontId="2" fillId="0" borderId="35" xfId="0" applyNumberFormat="1" applyFont="1" applyBorder="1" applyAlignment="1">
      <alignment horizontal="center" vertical="center"/>
    </xf>
    <xf numFmtId="168" fontId="2"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2" fillId="8" borderId="0" xfId="0" applyNumberFormat="1" applyFont="1" applyFill="1" applyAlignment="1">
      <alignment horizontal="center" vertical="top" wrapText="1"/>
    </xf>
    <xf numFmtId="168" fontId="21" fillId="27" borderId="2"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2" fillId="7" borderId="0" xfId="0" applyNumberFormat="1" applyFont="1" applyFill="1" applyAlignment="1">
      <alignment horizontal="center"/>
    </xf>
    <xf numFmtId="167" fontId="2" fillId="8" borderId="0" xfId="0" applyNumberFormat="1" applyFont="1" applyFill="1" applyAlignment="1">
      <alignment horizontal="center"/>
    </xf>
    <xf numFmtId="167" fontId="2" fillId="0" borderId="0" xfId="0" applyNumberFormat="1" applyFont="1" applyAlignment="1">
      <alignment horizontal="center"/>
    </xf>
    <xf numFmtId="167" fontId="2" fillId="27" borderId="8" xfId="0" applyNumberFormat="1" applyFont="1" applyFill="1" applyBorder="1" applyAlignment="1">
      <alignment horizontal="center"/>
    </xf>
    <xf numFmtId="168" fontId="2" fillId="8" borderId="35" xfId="0" applyNumberFormat="1" applyFont="1" applyFill="1" applyBorder="1" applyAlignment="1">
      <alignment horizontal="right" vertical="top" wrapText="1"/>
    </xf>
    <xf numFmtId="168" fontId="2" fillId="0" borderId="0" xfId="0" applyNumberFormat="1" applyFont="1" applyAlignment="1">
      <alignment horizontal="right" vertical="top" wrapText="1"/>
    </xf>
    <xf numFmtId="0" fontId="2"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2" fillId="0" borderId="1" xfId="0" applyNumberFormat="1" applyFont="1" applyBorder="1" applyAlignment="1">
      <alignment horizontal="right" vertical="top" wrapText="1"/>
    </xf>
    <xf numFmtId="3" fontId="21" fillId="0" borderId="2"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3" xfId="0" applyFont="1" applyFill="1" applyBorder="1" applyAlignment="1">
      <alignment horizontal="center"/>
    </xf>
    <xf numFmtId="0" fontId="25" fillId="0" borderId="1" xfId="0" applyFont="1" applyBorder="1"/>
    <xf numFmtId="2" fontId="2" fillId="0" borderId="8" xfId="0" applyNumberFormat="1" applyFont="1" applyBorder="1" applyAlignment="1">
      <alignment horizontal="center"/>
    </xf>
    <xf numFmtId="175" fontId="34" fillId="8" borderId="33" xfId="0" applyNumberFormat="1" applyFont="1" applyFill="1" applyBorder="1" applyAlignment="1">
      <alignment horizontal="center"/>
    </xf>
    <xf numFmtId="1" fontId="2" fillId="0" borderId="6" xfId="0" applyNumberFormat="1" applyFont="1" applyBorder="1" applyAlignment="1">
      <alignment horizontal="center"/>
    </xf>
    <xf numFmtId="176" fontId="2" fillId="0" borderId="0" xfId="0" applyNumberFormat="1" applyFont="1" applyAlignment="1">
      <alignment horizontal="center"/>
    </xf>
    <xf numFmtId="175" fontId="34" fillId="0" borderId="36" xfId="0" applyNumberFormat="1" applyFont="1" applyBorder="1" applyAlignment="1">
      <alignment horizontal="center"/>
    </xf>
    <xf numFmtId="3" fontId="2"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2"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2"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2" fillId="8" borderId="0" xfId="0" applyNumberFormat="1" applyFont="1" applyFill="1" applyAlignment="1">
      <alignment horizontal="right" vertical="top" wrapText="1"/>
    </xf>
    <xf numFmtId="175" fontId="25" fillId="0" borderId="0" xfId="0" applyNumberFormat="1" applyFont="1" applyAlignment="1">
      <alignment horizontal="center"/>
    </xf>
    <xf numFmtId="2" fontId="2" fillId="0" borderId="6" xfId="0" applyNumberFormat="1" applyFont="1" applyBorder="1" applyAlignment="1">
      <alignment horizontal="center"/>
    </xf>
    <xf numFmtId="1" fontId="2" fillId="0" borderId="34" xfId="0" applyNumberFormat="1" applyFont="1" applyBorder="1" applyAlignment="1">
      <alignment horizontal="center"/>
    </xf>
    <xf numFmtId="37" fontId="2" fillId="0" borderId="0" xfId="0" applyNumberFormat="1" applyFont="1" applyAlignment="1">
      <alignment horizontal="center" wrapText="1"/>
    </xf>
    <xf numFmtId="1" fontId="25" fillId="0" borderId="0" xfId="0" applyNumberFormat="1" applyFont="1" applyAlignment="1">
      <alignment horizontal="center"/>
    </xf>
    <xf numFmtId="177" fontId="2" fillId="0" borderId="0" xfId="0" applyNumberFormat="1" applyFont="1" applyAlignment="1">
      <alignment horizontal="center"/>
    </xf>
    <xf numFmtId="168" fontId="2"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2" xfId="0" applyNumberFormat="1" applyFont="1" applyBorder="1" applyAlignment="1">
      <alignment horizontal="center"/>
    </xf>
    <xf numFmtId="0" fontId="25" fillId="0" borderId="4" xfId="0" applyFont="1" applyBorder="1" applyAlignment="1">
      <alignment horizontal="left" indent="1"/>
    </xf>
    <xf numFmtId="167" fontId="2" fillId="0" borderId="35" xfId="0" applyNumberFormat="1" applyFont="1" applyBorder="1" applyAlignment="1">
      <alignment horizontal="center"/>
    </xf>
    <xf numFmtId="167" fontId="2" fillId="0" borderId="6" xfId="0" applyNumberFormat="1" applyFont="1" applyBorder="1" applyAlignment="1">
      <alignment vertical="center" wrapText="1"/>
    </xf>
    <xf numFmtId="167" fontId="2" fillId="0" borderId="34" xfId="0" applyNumberFormat="1" applyFont="1" applyBorder="1" applyAlignment="1">
      <alignment vertical="center" wrapText="1"/>
    </xf>
    <xf numFmtId="167" fontId="2" fillId="0" borderId="8" xfId="0" applyNumberFormat="1" applyFont="1" applyBorder="1" applyAlignment="1">
      <alignment vertical="center" wrapText="1"/>
    </xf>
    <xf numFmtId="1" fontId="2" fillId="0" borderId="0" xfId="0" applyNumberFormat="1" applyFont="1" applyAlignment="1">
      <alignment horizontal="center" vertical="center"/>
    </xf>
    <xf numFmtId="0" fontId="12" fillId="0" borderId="14" xfId="0" applyFont="1" applyBorder="1" applyAlignment="1">
      <alignment horizontal="left" indent="1"/>
    </xf>
    <xf numFmtId="2" fontId="2" fillId="0" borderId="35" xfId="0" applyNumberFormat="1" applyFont="1" applyBorder="1" applyAlignment="1">
      <alignment horizontal="center"/>
    </xf>
    <xf numFmtId="9" fontId="2" fillId="0" borderId="0" xfId="0" applyNumberFormat="1" applyFont="1"/>
    <xf numFmtId="175" fontId="25" fillId="0" borderId="4"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7" xfId="0" applyFont="1" applyBorder="1" applyAlignment="1">
      <alignment horizontal="left" indent="1"/>
    </xf>
    <xf numFmtId="167" fontId="2" fillId="0" borderId="0" xfId="0" applyNumberFormat="1" applyFont="1" applyAlignment="1">
      <alignment vertical="center" wrapText="1"/>
    </xf>
    <xf numFmtId="0" fontId="2"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7" xfId="0" applyNumberFormat="1" applyFont="1" applyBorder="1" applyAlignment="1">
      <alignment horizontal="center" vertical="top" wrapText="1"/>
    </xf>
    <xf numFmtId="0" fontId="2" fillId="0" borderId="4" xfId="0" applyFont="1" applyBorder="1" applyAlignment="1">
      <alignment horizontal="left" indent="2"/>
    </xf>
    <xf numFmtId="0" fontId="2"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4" xfId="0" applyFont="1" applyBorder="1" applyAlignment="1">
      <alignment horizontal="left"/>
    </xf>
    <xf numFmtId="1" fontId="2" fillId="8" borderId="16" xfId="0" applyNumberFormat="1" applyFont="1" applyFill="1" applyBorder="1" applyAlignment="1">
      <alignment horizontal="center" vertical="top" wrapText="1"/>
    </xf>
    <xf numFmtId="168" fontId="2" fillId="0" borderId="4" xfId="0" applyNumberFormat="1" applyFont="1" applyBorder="1" applyAlignment="1">
      <alignment horizontal="right" vertical="top" wrapText="1"/>
    </xf>
    <xf numFmtId="168" fontId="2" fillId="0" borderId="5" xfId="0" applyNumberFormat="1" applyFont="1" applyBorder="1" applyAlignment="1">
      <alignment horizontal="right" vertical="top" wrapText="1"/>
    </xf>
    <xf numFmtId="168" fontId="2" fillId="8" borderId="5" xfId="0" applyNumberFormat="1" applyFont="1" applyFill="1" applyBorder="1" applyAlignment="1">
      <alignment horizontal="right" vertical="top" wrapText="1"/>
    </xf>
    <xf numFmtId="168" fontId="2" fillId="0" borderId="16" xfId="0" applyNumberFormat="1" applyFont="1" applyBorder="1" applyAlignment="1">
      <alignment horizontal="center" vertical="top" wrapText="1"/>
    </xf>
    <xf numFmtId="168" fontId="2"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4" xfId="0" applyFont="1" applyBorder="1" applyAlignment="1">
      <alignment horizontal="left" vertical="top" wrapText="1"/>
    </xf>
    <xf numFmtId="168" fontId="21" fillId="0" borderId="2" xfId="0" applyNumberFormat="1" applyFont="1" applyBorder="1" applyAlignment="1">
      <alignment horizontal="center" vertical="top" wrapText="1"/>
    </xf>
    <xf numFmtId="168" fontId="38" fillId="8" borderId="2" xfId="0" applyNumberFormat="1" applyFont="1" applyFill="1" applyBorder="1" applyAlignment="1">
      <alignment horizontal="center"/>
    </xf>
    <xf numFmtId="168" fontId="21" fillId="27" borderId="8" xfId="0" applyNumberFormat="1" applyFont="1" applyFill="1" applyBorder="1" applyAlignment="1">
      <alignment horizontal="center" vertical="top" wrapText="1"/>
    </xf>
    <xf numFmtId="1" fontId="2" fillId="0" borderId="5" xfId="0" applyNumberFormat="1" applyFont="1" applyBorder="1" applyAlignment="1">
      <alignment horizontal="center"/>
    </xf>
    <xf numFmtId="167" fontId="2" fillId="7" borderId="8" xfId="0" applyNumberFormat="1" applyFont="1" applyFill="1" applyBorder="1" applyAlignment="1">
      <alignment horizontal="center"/>
    </xf>
    <xf numFmtId="0" fontId="2" fillId="19" borderId="1" xfId="0" applyFont="1" applyFill="1" applyBorder="1" applyAlignment="1">
      <alignment horizontal="left" indent="2"/>
    </xf>
    <xf numFmtId="0" fontId="1" fillId="19" borderId="3" xfId="0" applyFont="1" applyFill="1" applyBorder="1"/>
    <xf numFmtId="167" fontId="2" fillId="19" borderId="0" xfId="0" applyNumberFormat="1" applyFont="1" applyFill="1" applyAlignment="1">
      <alignment horizontal="center"/>
    </xf>
    <xf numFmtId="0" fontId="2" fillId="19" borderId="0" xfId="0" applyFont="1" applyFill="1" applyAlignment="1">
      <alignment horizontal="center"/>
    </xf>
    <xf numFmtId="0" fontId="2" fillId="19" borderId="1" xfId="0" applyFont="1" applyFill="1" applyBorder="1" applyAlignment="1">
      <alignment horizontal="left" indent="4"/>
    </xf>
    <xf numFmtId="0" fontId="2" fillId="19" borderId="3" xfId="0" applyFont="1" applyFill="1" applyBorder="1"/>
    <xf numFmtId="0" fontId="2" fillId="19" borderId="7" xfId="0" applyFont="1" applyFill="1" applyBorder="1" applyAlignment="1">
      <alignment horizontal="left" indent="2"/>
    </xf>
    <xf numFmtId="10" fontId="33" fillId="0" borderId="3" xfId="0" applyNumberFormat="1" applyFont="1" applyBorder="1" applyAlignment="1">
      <alignment horizontal="center"/>
    </xf>
    <xf numFmtId="0" fontId="12" fillId="7" borderId="36" xfId="0" applyFont="1" applyFill="1" applyBorder="1"/>
    <xf numFmtId="0" fontId="33" fillId="0" borderId="0" xfId="0" applyFont="1"/>
    <xf numFmtId="0" fontId="2" fillId="7" borderId="14" xfId="0" applyFont="1" applyFill="1" applyBorder="1" applyAlignment="1">
      <alignment horizontal="center"/>
    </xf>
    <xf numFmtId="0" fontId="2" fillId="7" borderId="12" xfId="0" applyFont="1" applyFill="1" applyBorder="1" applyAlignment="1">
      <alignment horizontal="center"/>
    </xf>
    <xf numFmtId="10" fontId="33" fillId="0" borderId="46"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2" xfId="0" applyNumberFormat="1" applyFont="1" applyBorder="1"/>
    <xf numFmtId="0" fontId="33" fillId="0" borderId="2" xfId="0" applyFont="1" applyBorder="1"/>
    <xf numFmtId="0" fontId="27"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19" borderId="1" xfId="0" applyFont="1" applyFill="1" applyBorder="1"/>
    <xf numFmtId="0" fontId="1" fillId="19" borderId="7" xfId="0" applyFont="1" applyFill="1" applyBorder="1"/>
    <xf numFmtId="10" fontId="33" fillId="0" borderId="7" xfId="0" applyNumberFormat="1" applyFont="1" applyBorder="1" applyAlignment="1">
      <alignment horizontal="center"/>
    </xf>
    <xf numFmtId="10" fontId="33" fillId="0" borderId="2"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2" xfId="0" applyNumberFormat="1" applyFont="1" applyBorder="1" applyAlignment="1">
      <alignment horizontal="center"/>
    </xf>
    <xf numFmtId="2" fontId="33" fillId="0" borderId="5" xfId="0" applyNumberFormat="1" applyFont="1" applyBorder="1" applyAlignment="1">
      <alignment horizontal="center"/>
    </xf>
    <xf numFmtId="0" fontId="12" fillId="0" borderId="4"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19" borderId="0" xfId="0" applyNumberFormat="1" applyFont="1" applyFill="1" applyAlignment="1">
      <alignment horizontal="center"/>
    </xf>
    <xf numFmtId="10" fontId="33" fillId="19" borderId="3" xfId="0" applyNumberFormat="1" applyFont="1" applyFill="1" applyBorder="1" applyAlignment="1">
      <alignment horizontal="center"/>
    </xf>
    <xf numFmtId="10" fontId="1" fillId="19" borderId="1" xfId="0" applyNumberFormat="1" applyFont="1" applyFill="1" applyBorder="1"/>
    <xf numFmtId="10" fontId="33" fillId="13" borderId="0" xfId="0" applyNumberFormat="1" applyFont="1" applyFill="1" applyAlignment="1">
      <alignment horizontal="center"/>
    </xf>
    <xf numFmtId="0" fontId="3" fillId="0" borderId="0" xfId="0" applyFont="1" applyAlignment="1">
      <alignment horizontal="left"/>
    </xf>
    <xf numFmtId="10" fontId="33" fillId="7" borderId="0" xfId="0" applyNumberFormat="1" applyFont="1" applyFill="1" applyAlignment="1">
      <alignment horizontal="center"/>
    </xf>
    <xf numFmtId="0" fontId="2"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3" fillId="19" borderId="3" xfId="0" applyFont="1" applyFill="1" applyBorder="1" applyAlignment="1">
      <alignment horizontal="left"/>
    </xf>
    <xf numFmtId="0" fontId="3" fillId="19" borderId="8" xfId="0" applyFont="1" applyFill="1" applyBorder="1" applyAlignment="1">
      <alignment horizontal="left"/>
    </xf>
    <xf numFmtId="10" fontId="33" fillId="19" borderId="2" xfId="0" applyNumberFormat="1" applyFont="1" applyFill="1" applyBorder="1" applyAlignment="1">
      <alignment horizontal="center"/>
    </xf>
    <xf numFmtId="10" fontId="33" fillId="19" borderId="8" xfId="0" applyNumberFormat="1" applyFont="1" applyFill="1" applyBorder="1" applyAlignment="1">
      <alignment horizontal="center"/>
    </xf>
    <xf numFmtId="10" fontId="1" fillId="0" borderId="4" xfId="0" applyNumberFormat="1" applyFont="1" applyBorder="1"/>
    <xf numFmtId="0" fontId="3" fillId="0" borderId="6" xfId="0" applyFont="1" applyBorder="1" applyAlignment="1">
      <alignment horizontal="left"/>
    </xf>
    <xf numFmtId="0" fontId="3" fillId="0" borderId="8" xfId="0" applyFont="1" applyBorder="1" applyAlignment="1">
      <alignment horizontal="left"/>
    </xf>
    <xf numFmtId="10" fontId="33" fillId="0" borderId="47" xfId="0" applyNumberFormat="1" applyFont="1" applyBorder="1" applyAlignment="1">
      <alignment horizontal="center"/>
    </xf>
    <xf numFmtId="10" fontId="33" fillId="0" borderId="48" xfId="0" applyNumberFormat="1" applyFont="1" applyBorder="1" applyAlignment="1">
      <alignment horizontal="center"/>
    </xf>
    <xf numFmtId="10" fontId="1" fillId="0" borderId="7" xfId="0" applyNumberFormat="1" applyFont="1" applyBorder="1"/>
    <xf numFmtId="0" fontId="12" fillId="0" borderId="35" xfId="0" applyFont="1" applyBorder="1" applyAlignment="1">
      <alignment vertical="center" wrapText="1"/>
    </xf>
    <xf numFmtId="10" fontId="33" fillId="7" borderId="2" xfId="0" applyNumberFormat="1" applyFont="1" applyFill="1" applyBorder="1" applyAlignment="1">
      <alignment horizontal="center"/>
    </xf>
    <xf numFmtId="10" fontId="33" fillId="0" borderId="4"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2" xfId="0" applyFont="1" applyBorder="1" applyAlignment="1">
      <alignment wrapText="1"/>
    </xf>
    <xf numFmtId="167" fontId="4" fillId="0" borderId="0" xfId="0" applyNumberFormat="1" applyFont="1" applyAlignment="1">
      <alignment wrapText="1"/>
    </xf>
    <xf numFmtId="0" fontId="3" fillId="0" borderId="5" xfId="0" applyFont="1" applyBorder="1" applyAlignment="1">
      <alignment horizontal="left"/>
    </xf>
    <xf numFmtId="0" fontId="3" fillId="0" borderId="2"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3" fontId="2" fillId="0" borderId="5" xfId="0" applyNumberFormat="1" applyFont="1" applyBorder="1" applyAlignment="1">
      <alignment horizontal="center"/>
    </xf>
    <xf numFmtId="2" fontId="2" fillId="0" borderId="1" xfId="0" applyNumberFormat="1" applyFont="1" applyBorder="1" applyAlignment="1">
      <alignment horizontal="center"/>
    </xf>
    <xf numFmtId="2" fontId="2" fillId="0" borderId="7" xfId="0" applyNumberFormat="1" applyFont="1" applyBorder="1" applyAlignment="1">
      <alignment horizontal="center"/>
    </xf>
    <xf numFmtId="2" fontId="2" fillId="0" borderId="0" xfId="0" applyNumberFormat="1" applyFont="1"/>
    <xf numFmtId="0" fontId="2" fillId="8" borderId="14" xfId="0" applyFont="1" applyFill="1" applyBorder="1"/>
    <xf numFmtId="3" fontId="2" fillId="0" borderId="1" xfId="0" applyNumberFormat="1" applyFont="1" applyBorder="1" applyAlignment="1">
      <alignment horizontal="center"/>
    </xf>
    <xf numFmtId="167" fontId="2" fillId="0" borderId="8" xfId="0" applyNumberFormat="1" applyFont="1" applyBorder="1" applyAlignment="1">
      <alignment horizontal="center"/>
    </xf>
    <xf numFmtId="0" fontId="2" fillId="8" borderId="12" xfId="0" applyFont="1" applyFill="1" applyBorder="1" applyAlignment="1">
      <alignment horizontal="center" wrapText="1"/>
    </xf>
    <xf numFmtId="0" fontId="2" fillId="7" borderId="37" xfId="0" applyFont="1" applyFill="1" applyBorder="1" applyAlignment="1">
      <alignment horizontal="center" wrapText="1"/>
    </xf>
    <xf numFmtId="0" fontId="2" fillId="7" borderId="33" xfId="0" applyFont="1" applyFill="1" applyBorder="1" applyAlignment="1">
      <alignment horizontal="center" wrapText="1"/>
    </xf>
    <xf numFmtId="14" fontId="2" fillId="7" borderId="14" xfId="0" applyNumberFormat="1" applyFont="1" applyFill="1" applyBorder="1" applyAlignment="1">
      <alignment horizontal="right"/>
    </xf>
    <xf numFmtId="3" fontId="2" fillId="0" borderId="4" xfId="0" applyNumberFormat="1" applyFont="1" applyBorder="1" applyAlignment="1">
      <alignment horizontal="center"/>
    </xf>
    <xf numFmtId="3" fontId="2" fillId="0" borderId="0" xfId="0" applyNumberFormat="1" applyFont="1" applyAlignment="1">
      <alignment wrapText="1"/>
    </xf>
    <xf numFmtId="0" fontId="41" fillId="0" borderId="0" xfId="0" applyFont="1"/>
    <xf numFmtId="167" fontId="2" fillId="0" borderId="0" xfId="0" applyNumberFormat="1" applyFont="1" applyAlignment="1">
      <alignment horizontal="left"/>
    </xf>
    <xf numFmtId="14" fontId="2" fillId="0" borderId="0" xfId="0" applyNumberFormat="1" applyFont="1" applyAlignment="1">
      <alignment horizontal="center"/>
    </xf>
    <xf numFmtId="14" fontId="2" fillId="7" borderId="13" xfId="0" applyNumberFormat="1" applyFont="1" applyFill="1" applyBorder="1" applyAlignment="1">
      <alignment horizontal="right"/>
    </xf>
    <xf numFmtId="14" fontId="2" fillId="7" borderId="12" xfId="0" applyNumberFormat="1" applyFont="1" applyFill="1" applyBorder="1" applyAlignment="1">
      <alignment horizontal="right"/>
    </xf>
    <xf numFmtId="0" fontId="2" fillId="7" borderId="7" xfId="0" applyFont="1" applyFill="1" applyBorder="1" applyAlignment="1">
      <alignment horizontal="center" wrapText="1"/>
    </xf>
    <xf numFmtId="0" fontId="2" fillId="7" borderId="2" xfId="0" applyFont="1" applyFill="1" applyBorder="1" applyAlignment="1">
      <alignment horizontal="center" wrapText="1"/>
    </xf>
    <xf numFmtId="0" fontId="1" fillId="0" borderId="2"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3" borderId="8" xfId="0" applyNumberFormat="1" applyFont="1" applyFill="1" applyBorder="1" applyAlignment="1">
      <alignment horizontal="center"/>
    </xf>
    <xf numFmtId="0" fontId="3" fillId="0" borderId="4" xfId="0" applyFont="1" applyBorder="1" applyAlignment="1">
      <alignment horizontal="left" wrapText="1" indent="2"/>
    </xf>
    <xf numFmtId="0" fontId="1" fillId="7" borderId="2"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3"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1" fillId="0" borderId="4" xfId="0" applyFont="1" applyBorder="1" applyAlignment="1">
      <alignment horizontal="left" wrapText="1" indent="2"/>
    </xf>
    <xf numFmtId="0" fontId="1" fillId="0" borderId="35"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0" xfId="0" applyFont="1" applyAlignment="1">
      <alignment horizontal="left" vertical="top" wrapText="1"/>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7" xfId="0" applyFont="1" applyBorder="1" applyAlignment="1">
      <alignment horizontal="left" indent="2"/>
    </xf>
    <xf numFmtId="0" fontId="1" fillId="7" borderId="14" xfId="0" applyFont="1" applyFill="1" applyBorder="1" applyAlignment="1">
      <alignment horizontal="center" wrapText="1"/>
    </xf>
    <xf numFmtId="0" fontId="1" fillId="3" borderId="33" xfId="0" applyFont="1" applyFill="1" applyBorder="1" applyAlignment="1">
      <alignment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7" xfId="0" applyFont="1" applyFill="1" applyBorder="1" applyAlignment="1">
      <alignment horizontal="center"/>
    </xf>
    <xf numFmtId="165" fontId="1" fillId="0" borderId="2"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2"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2" xfId="0" applyFont="1" applyFill="1" applyBorder="1" applyAlignment="1">
      <alignment horizontal="center"/>
    </xf>
    <xf numFmtId="0" fontId="2" fillId="0" borderId="2"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2" fillId="0" borderId="0" xfId="0" applyNumberFormat="1" applyFont="1" applyAlignment="1">
      <alignment horizontal="right"/>
    </xf>
    <xf numFmtId="3" fontId="2" fillId="0" borderId="2" xfId="0" applyNumberFormat="1" applyFont="1" applyBorder="1"/>
    <xf numFmtId="1" fontId="2" fillId="0" borderId="0" xfId="0" applyNumberFormat="1" applyFont="1" applyAlignment="1">
      <alignment horizontal="right"/>
    </xf>
    <xf numFmtId="0" fontId="2" fillId="0" borderId="2" xfId="0" applyFont="1" applyBorder="1" applyAlignment="1">
      <alignment horizontal="right"/>
    </xf>
    <xf numFmtId="0" fontId="2" fillId="0" borderId="0" xfId="0" applyFont="1" applyAlignment="1">
      <alignment vertical="center"/>
    </xf>
    <xf numFmtId="0" fontId="2" fillId="0" borderId="0" xfId="0" applyFont="1" applyAlignment="1">
      <alignment horizontal="right" vertical="center"/>
    </xf>
    <xf numFmtId="0" fontId="2" fillId="0" borderId="2" xfId="0" applyFont="1" applyBorder="1" applyAlignment="1">
      <alignment vertical="center"/>
    </xf>
    <xf numFmtId="3" fontId="2" fillId="0" borderId="5" xfId="0" applyNumberFormat="1" applyFont="1" applyBorder="1" applyAlignment="1">
      <alignment horizontal="right"/>
    </xf>
    <xf numFmtId="3" fontId="2" fillId="0" borderId="2"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6" borderId="0" xfId="0" applyNumberFormat="1" applyFont="1" applyFill="1" applyAlignment="1">
      <alignment horizontal="center" vertical="top"/>
    </xf>
    <xf numFmtId="0" fontId="44" fillId="16" borderId="0" xfId="0" applyFont="1" applyFill="1" applyAlignment="1">
      <alignment horizontal="center" vertical="top"/>
    </xf>
    <xf numFmtId="0" fontId="44" fillId="16"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6"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6" borderId="0" xfId="0" applyNumberFormat="1" applyFont="1" applyFill="1" applyAlignment="1">
      <alignment horizontal="center" vertical="top"/>
    </xf>
    <xf numFmtId="0" fontId="45" fillId="16" borderId="0" xfId="0" applyFont="1" applyFill="1" applyAlignment="1">
      <alignment horizontal="center" vertical="top"/>
    </xf>
    <xf numFmtId="1" fontId="44" fillId="16" borderId="0" xfId="0" applyNumberFormat="1" applyFont="1" applyFill="1" applyAlignment="1">
      <alignment horizontal="center" vertical="top"/>
    </xf>
    <xf numFmtId="0" fontId="44" fillId="0" borderId="0" xfId="0" applyFont="1" applyAlignment="1">
      <alignment horizontal="center" vertical="top"/>
    </xf>
    <xf numFmtId="1" fontId="44" fillId="16" borderId="0" xfId="0" applyNumberFormat="1" applyFont="1" applyFill="1" applyAlignment="1">
      <alignment horizontal="center"/>
    </xf>
    <xf numFmtId="1" fontId="44" fillId="16" borderId="0" xfId="0" applyNumberFormat="1" applyFont="1" applyFill="1" applyAlignment="1">
      <alignment horizontal="center" vertical="center"/>
    </xf>
    <xf numFmtId="1" fontId="45" fillId="16"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6" borderId="5" xfId="0" applyNumberFormat="1" applyFont="1" applyFill="1" applyBorder="1" applyAlignment="1">
      <alignment horizontal="center" vertical="top"/>
    </xf>
    <xf numFmtId="3" fontId="45" fillId="16" borderId="5" xfId="0" applyNumberFormat="1" applyFont="1" applyFill="1" applyBorder="1" applyAlignment="1">
      <alignment horizontal="center" vertical="top"/>
    </xf>
    <xf numFmtId="0" fontId="44" fillId="16" borderId="5" xfId="0" applyFont="1" applyFill="1" applyBorder="1" applyAlignment="1">
      <alignment horizontal="center" vertical="top"/>
    </xf>
    <xf numFmtId="0" fontId="11" fillId="16"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3"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6" borderId="35" xfId="0" applyFont="1" applyFill="1" applyBorder="1" applyAlignment="1">
      <alignment horizontal="center" vertical="top"/>
    </xf>
    <xf numFmtId="0" fontId="44" fillId="16"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7" borderId="0" xfId="0" applyNumberFormat="1" applyFont="1" applyFill="1" applyAlignment="1">
      <alignment horizontal="center" vertical="top"/>
    </xf>
    <xf numFmtId="3" fontId="45" fillId="17" borderId="0" xfId="0" applyNumberFormat="1" applyFont="1" applyFill="1" applyAlignment="1">
      <alignment horizontal="center" vertical="top"/>
    </xf>
    <xf numFmtId="0" fontId="45" fillId="0" borderId="0" xfId="0" applyFont="1" applyAlignment="1">
      <alignment horizontal="center" vertical="top"/>
    </xf>
    <xf numFmtId="0" fontId="44" fillId="17" borderId="0" xfId="0" applyFont="1" applyFill="1" applyAlignment="1">
      <alignment horizontal="left" vertical="top" wrapText="1"/>
    </xf>
    <xf numFmtId="0" fontId="44" fillId="17" borderId="0" xfId="0" applyFont="1" applyFill="1" applyAlignment="1">
      <alignment horizontal="center" vertical="top"/>
    </xf>
    <xf numFmtId="0" fontId="45" fillId="17" borderId="0" xfId="0" applyFont="1" applyFill="1" applyAlignment="1">
      <alignment horizontal="center" vertical="top"/>
    </xf>
    <xf numFmtId="0" fontId="48" fillId="17"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3"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2" xfId="0" applyFont="1" applyFill="1" applyBorder="1" applyAlignment="1">
      <alignment vertical="top"/>
    </xf>
    <xf numFmtId="1" fontId="49" fillId="0" borderId="0" xfId="0" applyNumberFormat="1" applyFont="1"/>
    <xf numFmtId="1" fontId="44" fillId="17"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4" fillId="16" borderId="0" xfId="0" applyFont="1" applyFill="1" applyAlignment="1">
      <alignment horizontal="left"/>
    </xf>
    <xf numFmtId="0" fontId="4" fillId="6" borderId="0" xfId="0" applyFont="1" applyFill="1" applyAlignment="1">
      <alignment horizontal="left"/>
    </xf>
    <xf numFmtId="0" fontId="4" fillId="8" borderId="0" xfId="0" applyFont="1" applyFill="1" applyAlignment="1">
      <alignment horizontal="left"/>
    </xf>
    <xf numFmtId="0" fontId="4" fillId="34" borderId="0" xfId="0" applyFont="1" applyFill="1" applyAlignment="1">
      <alignment horizontal="left"/>
    </xf>
    <xf numFmtId="0" fontId="4" fillId="32" borderId="0" xfId="0" applyFont="1" applyFill="1" applyAlignment="1">
      <alignment horizontal="left"/>
    </xf>
    <xf numFmtId="0" fontId="4"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2" fillId="2" borderId="0" xfId="0" applyFont="1" applyFill="1" applyAlignment="1">
      <alignment horizontal="left" indent="2"/>
    </xf>
    <xf numFmtId="0" fontId="2"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2" fillId="35" borderId="0" xfId="0" applyFont="1" applyFill="1" applyAlignment="1">
      <alignment horizontal="left" indent="2"/>
    </xf>
    <xf numFmtId="0" fontId="2"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3" borderId="0" xfId="0" applyFont="1" applyFill="1" applyAlignment="1">
      <alignment wrapText="1"/>
    </xf>
    <xf numFmtId="0" fontId="8" fillId="13" borderId="0" xfId="0" applyFont="1" applyFill="1" applyAlignment="1">
      <alignment vertical="top"/>
    </xf>
    <xf numFmtId="0" fontId="8" fillId="13"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3" borderId="0" xfId="0" applyFont="1" applyFill="1" applyAlignment="1">
      <alignment horizontal="right"/>
    </xf>
    <xf numFmtId="0" fontId="7" fillId="13"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6" borderId="1" xfId="0" applyFont="1" applyFill="1" applyBorder="1" applyAlignment="1">
      <alignment horizontal="left" indent="2"/>
    </xf>
    <xf numFmtId="0" fontId="0" fillId="12" borderId="0" xfId="0" applyFill="1"/>
    <xf numFmtId="2" fontId="17" fillId="12" borderId="0" xfId="0" applyNumberFormat="1" applyFont="1" applyFill="1"/>
    <xf numFmtId="2" fontId="1" fillId="12" borderId="3" xfId="0" applyNumberFormat="1" applyFont="1" applyFill="1" applyBorder="1"/>
    <xf numFmtId="2" fontId="1" fillId="12" borderId="20" xfId="0" applyNumberFormat="1" applyFont="1" applyFill="1" applyBorder="1"/>
    <xf numFmtId="10" fontId="17" fillId="13" borderId="0" xfId="0" applyNumberFormat="1" applyFont="1" applyFill="1"/>
    <xf numFmtId="0" fontId="0" fillId="9" borderId="0" xfId="0" applyFill="1"/>
    <xf numFmtId="0" fontId="0" fillId="11" borderId="0" xfId="0" applyFill="1"/>
    <xf numFmtId="2" fontId="0" fillId="0" borderId="0" xfId="0" applyNumberFormat="1"/>
    <xf numFmtId="0" fontId="2" fillId="22" borderId="1" xfId="0" applyFont="1" applyFill="1" applyBorder="1"/>
    <xf numFmtId="2" fontId="2" fillId="8" borderId="0" xfId="0" applyNumberFormat="1" applyFont="1" applyFill="1"/>
    <xf numFmtId="0" fontId="2" fillId="0" borderId="0" xfId="0" applyFont="1" applyAlignment="1">
      <alignment horizontal="center" vertical="center"/>
    </xf>
    <xf numFmtId="2" fontId="2" fillId="17" borderId="0" xfId="0" applyNumberFormat="1" applyFont="1" applyFill="1"/>
    <xf numFmtId="0" fontId="25" fillId="22" borderId="1" xfId="0" applyFont="1" applyFill="1" applyBorder="1" applyAlignment="1">
      <alignment wrapText="1"/>
    </xf>
    <xf numFmtId="0" fontId="2" fillId="17" borderId="0" xfId="1" applyNumberFormat="1" applyFont="1" applyFill="1"/>
    <xf numFmtId="168" fontId="2" fillId="17" borderId="0" xfId="1" applyNumberFormat="1" applyFont="1" applyFill="1"/>
    <xf numFmtId="0" fontId="24" fillId="22" borderId="1" xfId="0" applyFont="1" applyFill="1" applyBorder="1" applyAlignment="1">
      <alignment horizontal="center" vertical="center" wrapText="1"/>
    </xf>
    <xf numFmtId="0" fontId="2" fillId="22" borderId="4" xfId="0" applyFont="1" applyFill="1" applyBorder="1" applyAlignment="1">
      <alignment horizontal="left" indent="1"/>
    </xf>
    <xf numFmtId="0" fontId="2" fillId="22" borderId="1" xfId="0" applyFont="1" applyFill="1" applyBorder="1" applyAlignment="1">
      <alignment wrapText="1"/>
    </xf>
    <xf numFmtId="0" fontId="28" fillId="22" borderId="1" xfId="0" applyFont="1" applyFill="1" applyBorder="1" applyAlignment="1">
      <alignment wrapText="1"/>
    </xf>
    <xf numFmtId="0" fontId="28" fillId="0" borderId="1" xfId="0" applyFont="1" applyBorder="1" applyAlignment="1">
      <alignment wrapText="1"/>
    </xf>
    <xf numFmtId="0" fontId="12" fillId="9" borderId="4" xfId="0" applyFont="1" applyFill="1" applyBorder="1"/>
    <xf numFmtId="0" fontId="2" fillId="22" borderId="7" xfId="0" applyFont="1" applyFill="1" applyBorder="1" applyAlignment="1">
      <alignment wrapText="1"/>
    </xf>
    <xf numFmtId="169" fontId="2" fillId="8" borderId="0" xfId="0" applyNumberFormat="1" applyFont="1" applyFill="1" applyAlignment="1">
      <alignment horizontal="center"/>
    </xf>
    <xf numFmtId="169" fontId="2" fillId="15" borderId="0" xfId="0" applyNumberFormat="1" applyFont="1" applyFill="1" applyAlignment="1">
      <alignment horizontal="center"/>
    </xf>
    <xf numFmtId="0" fontId="1" fillId="22" borderId="0" xfId="0" applyFont="1" applyFill="1"/>
    <xf numFmtId="0" fontId="25" fillId="22" borderId="4" xfId="0" applyFont="1" applyFill="1" applyBorder="1" applyAlignment="1">
      <alignment wrapText="1"/>
    </xf>
    <xf numFmtId="0" fontId="25" fillId="22" borderId="7" xfId="0" applyFont="1" applyFill="1" applyBorder="1"/>
    <xf numFmtId="0" fontId="25" fillId="22" borderId="0" xfId="0" applyFont="1" applyFill="1"/>
    <xf numFmtId="0" fontId="2" fillId="0" borderId="51" xfId="0" applyFont="1" applyBorder="1" applyAlignment="1">
      <alignment horizontal="left" wrapText="1" indent="3"/>
    </xf>
    <xf numFmtId="0" fontId="2" fillId="7" borderId="51" xfId="0" applyFont="1" applyFill="1" applyBorder="1" applyAlignment="1">
      <alignment horizontal="center"/>
    </xf>
    <xf numFmtId="0" fontId="1" fillId="0" borderId="51" xfId="0" applyFont="1" applyBorder="1"/>
    <xf numFmtId="3" fontId="2" fillId="0" borderId="51" xfId="0" applyNumberFormat="1" applyFont="1" applyBorder="1" applyAlignment="1">
      <alignment horizontal="right"/>
    </xf>
    <xf numFmtId="0" fontId="2" fillId="0" borderId="51" xfId="0" applyFont="1" applyBorder="1" applyAlignment="1">
      <alignment horizontal="center"/>
    </xf>
    <xf numFmtId="169" fontId="2" fillId="0" borderId="8" xfId="0" applyNumberFormat="1" applyFont="1" applyBorder="1" applyAlignment="1">
      <alignment horizontal="center"/>
    </xf>
    <xf numFmtId="168" fontId="21" fillId="15" borderId="35" xfId="0" applyNumberFormat="1" applyFont="1" applyFill="1" applyBorder="1" applyAlignment="1">
      <alignment horizontal="center"/>
    </xf>
    <xf numFmtId="0" fontId="1" fillId="15" borderId="0" xfId="0" applyFont="1" applyFill="1"/>
    <xf numFmtId="168" fontId="2" fillId="0" borderId="4" xfId="0" applyNumberFormat="1" applyFont="1" applyBorder="1" applyAlignment="1">
      <alignment horizontal="center"/>
    </xf>
    <xf numFmtId="169" fontId="2" fillId="7" borderId="2" xfId="0" applyNumberFormat="1" applyFont="1" applyFill="1" applyBorder="1" applyAlignment="1">
      <alignment horizontal="center"/>
    </xf>
    <xf numFmtId="168" fontId="21" fillId="8" borderId="35" xfId="0" applyNumberFormat="1" applyFont="1" applyFill="1" applyBorder="1" applyAlignment="1">
      <alignment horizontal="center"/>
    </xf>
    <xf numFmtId="0" fontId="21" fillId="0" borderId="4" xfId="0" applyFont="1" applyBorder="1"/>
    <xf numFmtId="0" fontId="21" fillId="0" borderId="35" xfId="0" applyFont="1" applyBorder="1"/>
    <xf numFmtId="0" fontId="28" fillId="0" borderId="1" xfId="0" applyFont="1" applyBorder="1" applyAlignment="1">
      <alignment horizontal="left" wrapText="1"/>
    </xf>
    <xf numFmtId="0" fontId="21" fillId="22" borderId="1" xfId="0" applyFont="1" applyFill="1" applyBorder="1"/>
    <xf numFmtId="0" fontId="25" fillId="22" borderId="1" xfId="0" applyFont="1" applyFill="1" applyBorder="1" applyAlignment="1">
      <alignment horizontal="left" indent="2"/>
    </xf>
    <xf numFmtId="0" fontId="2" fillId="22" borderId="1" xfId="0" applyFont="1" applyFill="1" applyBorder="1" applyAlignment="1">
      <alignment horizontal="left" vertical="top" wrapText="1" indent="1"/>
    </xf>
    <xf numFmtId="0" fontId="12" fillId="3" borderId="0" xfId="0" applyFont="1" applyFill="1" applyAlignment="1">
      <alignment horizontal="center"/>
    </xf>
    <xf numFmtId="0" fontId="12" fillId="0" borderId="0" xfId="0" applyFont="1" applyAlignment="1">
      <alignment horizontal="center" vertical="top" wrapText="1"/>
    </xf>
    <xf numFmtId="0" fontId="27" fillId="0" borderId="0" xfId="0" applyFont="1" applyAlignment="1">
      <alignment horizontal="left" vertical="top" wrapText="1"/>
    </xf>
    <xf numFmtId="0" fontId="12" fillId="7" borderId="4"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0" xfId="0" applyFont="1" applyFill="1" applyAlignment="1">
      <alignment horizontal="center"/>
    </xf>
    <xf numFmtId="0" fontId="12" fillId="7" borderId="37" xfId="0" applyFont="1" applyFill="1" applyBorder="1" applyAlignment="1">
      <alignment horizontal="center"/>
    </xf>
    <xf numFmtId="0" fontId="12" fillId="8" borderId="41" xfId="0" applyFont="1" applyFill="1" applyBorder="1" applyAlignment="1">
      <alignment horizontal="center"/>
    </xf>
    <xf numFmtId="0" fontId="12" fillId="8" borderId="36" xfId="0" applyFont="1" applyFill="1" applyBorder="1" applyAlignment="1">
      <alignment horizontal="center"/>
    </xf>
    <xf numFmtId="0" fontId="12" fillId="8" borderId="33" xfId="0" applyFont="1" applyFill="1" applyBorder="1" applyAlignment="1">
      <alignment horizontal="center"/>
    </xf>
    <xf numFmtId="0" fontId="2" fillId="7" borderId="4" xfId="0" applyFont="1" applyFill="1" applyBorder="1" applyAlignment="1">
      <alignment horizontal="center"/>
    </xf>
    <xf numFmtId="0" fontId="2" fillId="7" borderId="35" xfId="0" applyFont="1" applyFill="1" applyBorder="1" applyAlignment="1">
      <alignment horizontal="center"/>
    </xf>
    <xf numFmtId="0" fontId="2" fillId="7" borderId="6" xfId="0" applyFont="1" applyFill="1" applyBorder="1" applyAlignment="1">
      <alignment horizontal="center"/>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51" xfId="0" applyFont="1" applyBorder="1" applyAlignment="1">
      <alignment horizontal="left" wrapText="1" indent="3"/>
    </xf>
    <xf numFmtId="0" fontId="2" fillId="8" borderId="4" xfId="0" applyFont="1" applyFill="1" applyBorder="1" applyAlignment="1">
      <alignment horizontal="center"/>
    </xf>
    <xf numFmtId="0" fontId="2" fillId="8" borderId="35" xfId="0" applyFont="1" applyFill="1" applyBorder="1" applyAlignment="1">
      <alignment horizontal="center"/>
    </xf>
    <xf numFmtId="0" fontId="2" fillId="8" borderId="6" xfId="0" applyFont="1" applyFill="1" applyBorder="1" applyAlignment="1">
      <alignment horizontal="center"/>
    </xf>
    <xf numFmtId="0" fontId="12" fillId="7" borderId="35" xfId="0" applyFont="1" applyFill="1" applyBorder="1" applyAlignment="1">
      <alignment horizontal="center"/>
    </xf>
    <xf numFmtId="0" fontId="12" fillId="7" borderId="7" xfId="0" applyFont="1" applyFill="1" applyBorder="1" applyAlignment="1">
      <alignment horizontal="center"/>
    </xf>
    <xf numFmtId="0" fontId="12" fillId="7" borderId="2" xfId="0" applyFont="1" applyFill="1" applyBorder="1" applyAlignment="1">
      <alignment horizontal="center"/>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3" xfId="0" applyFont="1" applyFill="1" applyBorder="1" applyAlignment="1">
      <alignment horizontal="center"/>
    </xf>
    <xf numFmtId="0" fontId="2" fillId="0" borderId="4" xfId="0" applyFont="1" applyBorder="1" applyAlignment="1">
      <alignment horizontal="left" wrapText="1" indent="3"/>
    </xf>
    <xf numFmtId="0" fontId="2" fillId="0" borderId="35" xfId="0" applyFont="1" applyBorder="1" applyAlignment="1">
      <alignment horizontal="left" wrapText="1" indent="3"/>
    </xf>
    <xf numFmtId="0" fontId="2" fillId="0" borderId="6" xfId="0" applyFont="1" applyBorder="1" applyAlignment="1">
      <alignment horizontal="left" wrapText="1" indent="3"/>
    </xf>
    <xf numFmtId="0" fontId="2" fillId="0" borderId="1" xfId="0" applyFont="1" applyBorder="1" applyAlignment="1">
      <alignment horizontal="left" wrapText="1"/>
    </xf>
    <xf numFmtId="0" fontId="2" fillId="0" borderId="0" xfId="0" applyFont="1" applyAlignment="1">
      <alignment horizontal="left" wrapText="1"/>
    </xf>
    <xf numFmtId="0" fontId="2" fillId="0" borderId="51" xfId="0" applyFont="1" applyBorder="1" applyAlignment="1">
      <alignment horizontal="left" wrapText="1"/>
    </xf>
    <xf numFmtId="0" fontId="2" fillId="9" borderId="1" xfId="0" applyFont="1" applyFill="1" applyBorder="1" applyAlignment="1">
      <alignment horizontal="left" wrapText="1" indent="3"/>
    </xf>
    <xf numFmtId="0" fontId="2" fillId="9" borderId="0" xfId="0" applyFont="1" applyFill="1" applyAlignment="1">
      <alignment horizontal="left" wrapText="1" indent="3"/>
    </xf>
    <xf numFmtId="0" fontId="2" fillId="9" borderId="51" xfId="0" applyFont="1" applyFill="1" applyBorder="1" applyAlignment="1">
      <alignment horizontal="left" wrapText="1" indent="3"/>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8" xfId="0" applyFont="1" applyBorder="1" applyAlignment="1">
      <alignment horizontal="left" wrapText="1"/>
    </xf>
    <xf numFmtId="0" fontId="2" fillId="9" borderId="1" xfId="0" applyFont="1" applyFill="1" applyBorder="1" applyAlignment="1">
      <alignment horizontal="left" vertical="top" wrapText="1" indent="3"/>
    </xf>
    <xf numFmtId="0" fontId="2" fillId="9" borderId="0" xfId="0" applyFont="1" applyFill="1" applyAlignment="1">
      <alignment horizontal="left" vertical="top" wrapText="1" indent="3"/>
    </xf>
    <xf numFmtId="0" fontId="2" fillId="9" borderId="51" xfId="0" applyFont="1" applyFill="1" applyBorder="1" applyAlignment="1">
      <alignment horizontal="left" vertical="top" wrapText="1" indent="3"/>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2"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3"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2"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4" fillId="3" borderId="0" xfId="0" applyFont="1" applyFill="1" applyAlignment="1">
      <alignment horizontal="center"/>
    </xf>
    <xf numFmtId="0" fontId="4" fillId="3" borderId="0" xfId="0" applyFont="1" applyFill="1" applyAlignment="1">
      <alignment horizontal="center" wrapText="1"/>
    </xf>
    <xf numFmtId="49" fontId="1" fillId="0" borderId="0" xfId="0" applyNumberFormat="1" applyFont="1" applyAlignment="1">
      <alignment horizontal="left" wrapText="1" indent="1"/>
    </xf>
    <xf numFmtId="168" fontId="18" fillId="0" borderId="0" xfId="0" applyNumberFormat="1" applyFont="1" applyAlignment="1">
      <alignment horizontal="center"/>
    </xf>
    <xf numFmtId="0" fontId="4"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 fontId="1" fillId="0" borderId="31" xfId="0" applyNumberFormat="1" applyFont="1" applyBorder="1" applyAlignment="1">
      <alignment horizontal="center"/>
    </xf>
    <xf numFmtId="1" fontId="1" fillId="0" borderId="29" xfId="0" applyNumberFormat="1" applyFont="1" applyBorder="1" applyAlignment="1">
      <alignment horizontal="center"/>
    </xf>
    <xf numFmtId="1" fontId="1" fillId="0" borderId="30" xfId="0" applyNumberFormat="1" applyFont="1" applyBorder="1" applyAlignment="1">
      <alignment horizontal="center"/>
    </xf>
    <xf numFmtId="168" fontId="1" fillId="0" borderId="32" xfId="0" applyNumberFormat="1" applyFont="1" applyBorder="1" applyAlignment="1">
      <alignment horizontal="left" inden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9" fillId="0" borderId="0" xfId="0" applyFont="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7" borderId="34" xfId="0" applyFont="1" applyFill="1" applyBorder="1" applyAlignment="1">
      <alignment horizontal="center"/>
    </xf>
    <xf numFmtId="0" fontId="12" fillId="7" borderId="3" xfId="0" applyFont="1" applyFill="1" applyBorder="1" applyAlignment="1">
      <alignment horizontal="center"/>
    </xf>
    <xf numFmtId="0" fontId="12" fillId="7" borderId="8" xfId="0" applyFont="1" applyFill="1" applyBorder="1" applyAlignment="1">
      <alignment horizontal="center"/>
    </xf>
    <xf numFmtId="0" fontId="2"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2" fillId="7" borderId="5" xfId="0" applyFont="1" applyFill="1" applyBorder="1" applyAlignment="1">
      <alignment horizontal="center"/>
    </xf>
    <xf numFmtId="0" fontId="2" fillId="7" borderId="4" xfId="0" applyFont="1" applyFill="1" applyBorder="1" applyAlignment="1">
      <alignment horizontal="right"/>
    </xf>
    <xf numFmtId="0" fontId="2" fillId="7" borderId="35" xfId="0" applyFont="1" applyFill="1" applyBorder="1" applyAlignment="1">
      <alignment horizontal="right"/>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3" borderId="6" xfId="0" applyFont="1" applyFill="1" applyBorder="1" applyAlignment="1">
      <alignment horizontal="center" wrapText="1"/>
    </xf>
    <xf numFmtId="0" fontId="2" fillId="3" borderId="3" xfId="0" applyFont="1" applyFill="1" applyBorder="1" applyAlignment="1">
      <alignment horizontal="center" wrapText="1"/>
    </xf>
    <xf numFmtId="0" fontId="2" fillId="3" borderId="8" xfId="0" applyFont="1" applyFill="1" applyBorder="1" applyAlignment="1">
      <alignment horizontal="center" wrapText="1"/>
    </xf>
    <xf numFmtId="0" fontId="12" fillId="9" borderId="41" xfId="0" applyFont="1" applyFill="1" applyBorder="1" applyAlignment="1">
      <alignment horizontal="center" vertical="center" wrapText="1"/>
    </xf>
    <xf numFmtId="0" fontId="12" fillId="9" borderId="36" xfId="0" applyFont="1" applyFill="1" applyBorder="1" applyAlignment="1">
      <alignment horizontal="center" vertical="center" wrapText="1"/>
    </xf>
    <xf numFmtId="0" fontId="12" fillId="0" borderId="0" xfId="0" applyFont="1" applyAlignment="1">
      <alignment horizontal="center"/>
    </xf>
    <xf numFmtId="0" fontId="2" fillId="0" borderId="0" xfId="0" applyFont="1" applyAlignment="1">
      <alignment horizontal="center"/>
    </xf>
    <xf numFmtId="0" fontId="2" fillId="0" borderId="3" xfId="0" applyFont="1" applyBorder="1" applyAlignment="1">
      <alignment horizontal="center" wrapText="1"/>
    </xf>
    <xf numFmtId="0" fontId="2" fillId="8" borderId="1" xfId="0" applyFont="1" applyFill="1" applyBorder="1" applyAlignment="1">
      <alignment horizontal="center"/>
    </xf>
    <xf numFmtId="0" fontId="2" fillId="8" borderId="0" xfId="0" applyFont="1" applyFill="1" applyAlignment="1">
      <alignment horizontal="center"/>
    </xf>
    <xf numFmtId="0" fontId="12" fillId="7" borderId="37"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2" fillId="7" borderId="34" xfId="0" applyFont="1" applyFill="1" applyBorder="1" applyAlignment="1">
      <alignment horizontal="center" vertical="center"/>
    </xf>
    <xf numFmtId="0" fontId="12" fillId="0" borderId="0" xfId="0" applyFont="1" applyAlignment="1">
      <alignment horizontal="left" wrapText="1"/>
    </xf>
    <xf numFmtId="0" fontId="12" fillId="16" borderId="0" xfId="0" applyFont="1" applyFill="1" applyAlignment="1">
      <alignment horizontal="center"/>
    </xf>
    <xf numFmtId="0" fontId="12" fillId="7" borderId="5" xfId="0" applyFont="1" applyFill="1" applyBorder="1" applyAlignment="1">
      <alignment horizontal="center"/>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2" fillId="0" borderId="4" xfId="0" applyFont="1" applyBorder="1" applyAlignment="1">
      <alignment horizontal="center" wrapText="1"/>
    </xf>
    <xf numFmtId="0" fontId="12" fillId="0" borderId="0" xfId="0" applyFont="1" applyAlignment="1">
      <alignment horizontal="center" wrapText="1"/>
    </xf>
    <xf numFmtId="0" fontId="2" fillId="7" borderId="3" xfId="0" applyFont="1" applyFill="1" applyBorder="1" applyAlignment="1">
      <alignment horizontal="center"/>
    </xf>
    <xf numFmtId="0" fontId="12" fillId="7" borderId="51" xfId="0" applyFont="1" applyFill="1" applyBorder="1" applyAlignment="1">
      <alignment horizontal="center"/>
    </xf>
    <xf numFmtId="0" fontId="12" fillId="0" borderId="2" xfId="0" applyFont="1" applyBorder="1" applyAlignment="1">
      <alignment horizontal="center" vertical="top" wrapText="1"/>
    </xf>
    <xf numFmtId="0" fontId="29" fillId="0" borderId="0" xfId="0" applyFont="1" applyAlignment="1">
      <alignment horizontal="left" vertical="top" wrapText="1"/>
    </xf>
    <xf numFmtId="0" fontId="12" fillId="8" borderId="7" xfId="0" applyFont="1" applyFill="1" applyBorder="1" applyAlignment="1">
      <alignment horizontal="center"/>
    </xf>
    <xf numFmtId="0" fontId="12" fillId="8" borderId="2" xfId="0" applyFont="1" applyFill="1" applyBorder="1" applyAlignment="1">
      <alignment horizontal="center"/>
    </xf>
    <xf numFmtId="0" fontId="12" fillId="8" borderId="0" xfId="0" applyFont="1" applyFill="1" applyAlignment="1">
      <alignment horizontal="center"/>
    </xf>
    <xf numFmtId="0" fontId="2" fillId="7" borderId="5" xfId="0" applyFont="1" applyFill="1" applyBorder="1" applyAlignment="1">
      <alignment horizontal="right"/>
    </xf>
    <xf numFmtId="0" fontId="12" fillId="9" borderId="0" xfId="0" applyFont="1" applyFill="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2" fillId="0" borderId="2" xfId="0" applyFont="1" applyBorder="1" applyAlignment="1">
      <alignment horizontal="left" vertical="top" wrapText="1"/>
    </xf>
    <xf numFmtId="0" fontId="12" fillId="7" borderId="4"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 fillId="0" borderId="0" xfId="0" applyFont="1" applyAlignment="1">
      <alignment horizontal="center"/>
    </xf>
    <xf numFmtId="0" fontId="2" fillId="8" borderId="3" xfId="0" applyFont="1" applyFill="1" applyBorder="1" applyAlignment="1">
      <alignment horizontal="center"/>
    </xf>
    <xf numFmtId="0" fontId="5" fillId="0" borderId="2" xfId="0" applyFont="1" applyBorder="1" applyAlignment="1">
      <alignment horizontal="center"/>
    </xf>
    <xf numFmtId="0" fontId="12" fillId="0" borderId="4"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center"/>
    </xf>
    <xf numFmtId="0" fontId="12" fillId="0" borderId="1" xfId="0" applyFont="1" applyBorder="1" applyAlignment="1">
      <alignment horizontal="center"/>
    </xf>
    <xf numFmtId="0" fontId="12" fillId="0" borderId="3" xfId="0" applyFont="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3"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3" xfId="0" applyFont="1" applyFill="1" applyBorder="1" applyAlignment="1">
      <alignment horizontal="center" wrapText="1"/>
    </xf>
    <xf numFmtId="0" fontId="21" fillId="0" borderId="2" xfId="0" applyFont="1" applyBorder="1" applyAlignment="1">
      <alignment horizontal="left" vertical="top" wrapText="1"/>
    </xf>
    <xf numFmtId="0" fontId="21" fillId="0" borderId="0" xfId="0" applyFont="1" applyAlignment="1">
      <alignment horizontal="left" vertical="top" wrapText="1"/>
    </xf>
    <xf numFmtId="0" fontId="5" fillId="19" borderId="41" xfId="0" applyFont="1" applyFill="1" applyBorder="1" applyAlignment="1">
      <alignment horizontal="center"/>
    </xf>
    <xf numFmtId="0" fontId="5" fillId="19" borderId="36" xfId="0" applyFont="1" applyFill="1" applyBorder="1" applyAlignment="1">
      <alignment horizontal="center"/>
    </xf>
    <xf numFmtId="0" fontId="5" fillId="19" borderId="33" xfId="0" applyFont="1" applyFill="1" applyBorder="1" applyAlignment="1">
      <alignment horizontal="center"/>
    </xf>
    <xf numFmtId="0" fontId="24" fillId="28" borderId="41" xfId="0" applyFont="1" applyFill="1" applyBorder="1" applyAlignment="1">
      <alignment horizontal="center"/>
    </xf>
    <xf numFmtId="0" fontId="24" fillId="28" borderId="36" xfId="0" applyFont="1" applyFill="1" applyBorder="1" applyAlignment="1">
      <alignment horizontal="center"/>
    </xf>
    <xf numFmtId="0" fontId="24" fillId="28" borderId="33" xfId="0" applyFont="1" applyFill="1" applyBorder="1" applyAlignment="1">
      <alignment horizontal="center"/>
    </xf>
    <xf numFmtId="0" fontId="1" fillId="0" borderId="0" xfId="0" applyFont="1" applyAlignment="1">
      <alignment horizontal="center" wrapText="1"/>
    </xf>
    <xf numFmtId="0" fontId="12" fillId="7" borderId="7" xfId="0" applyFont="1" applyFill="1" applyBorder="1" applyAlignment="1">
      <alignment horizontal="center" wrapText="1"/>
    </xf>
    <xf numFmtId="0" fontId="12" fillId="7" borderId="2" xfId="0" applyFont="1" applyFill="1" applyBorder="1" applyAlignment="1">
      <alignment horizontal="center" wrapText="1"/>
    </xf>
    <xf numFmtId="0" fontId="1" fillId="0" borderId="0" xfId="0" applyFont="1" applyAlignment="1">
      <alignment horizontal="left" vertical="top" wrapText="1"/>
    </xf>
    <xf numFmtId="0" fontId="4" fillId="7" borderId="4" xfId="0" applyFont="1" applyFill="1" applyBorder="1" applyAlignment="1">
      <alignment horizontal="center" wrapText="1"/>
    </xf>
    <xf numFmtId="0" fontId="4" fillId="7" borderId="5" xfId="0" applyFont="1" applyFill="1" applyBorder="1" applyAlignment="1">
      <alignment horizontal="center" wrapText="1"/>
    </xf>
    <xf numFmtId="0" fontId="4" fillId="7" borderId="1" xfId="0" applyFont="1" applyFill="1" applyBorder="1" applyAlignment="1">
      <alignment horizontal="center" wrapText="1"/>
    </xf>
    <xf numFmtId="0" fontId="4" fillId="7" borderId="0" xfId="0" applyFont="1" applyFill="1" applyAlignment="1">
      <alignment horizontal="center" wrapText="1"/>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4"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4"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2"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2" fillId="0" borderId="2" xfId="0" applyFont="1" applyBorder="1" applyAlignment="1">
      <alignment horizontal="center"/>
    </xf>
    <xf numFmtId="0" fontId="2" fillId="0" borderId="0" xfId="0" applyFont="1" applyAlignment="1">
      <alignment vertical="center" wrapText="1"/>
    </xf>
    <xf numFmtId="0" fontId="2" fillId="0" borderId="0" xfId="0" applyFont="1" applyAlignment="1">
      <alignment vertical="center"/>
    </xf>
    <xf numFmtId="0" fontId="2" fillId="13"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3"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3"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0" fontId="2" fillId="8" borderId="0" xfId="0" applyFont="1" applyFill="1" applyBorder="1" applyAlignment="1">
      <alignment horizontal="center"/>
    </xf>
  </cellXfs>
  <cellStyles count="2">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5.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xdr:col>
      <xdr:colOff>1746159</xdr:colOff>
      <xdr:row>15</xdr:row>
      <xdr:rowOff>293619</xdr:rowOff>
    </xdr:from>
    <xdr:to>
      <xdr:col>3</xdr:col>
      <xdr:colOff>488587</xdr:colOff>
      <xdr:row>18</xdr:row>
      <xdr:rowOff>30654</xdr:rowOff>
    </xdr:to>
    <xdr:sp macro="" textlink="">
      <xdr:nvSpPr>
        <xdr:cNvPr id="2" name="Text Box 1" hidden="1">
          <a:extLst>
            <a:ext uri="{FF2B5EF4-FFF2-40B4-BE49-F238E27FC236}">
              <a16:creationId xmlns:a16="http://schemas.microsoft.com/office/drawing/2014/main" id="{2690612F-31AD-4EFD-972D-2955D4CA1618}"/>
            </a:ext>
          </a:extLst>
        </xdr:cNvPr>
        <xdr:cNvSpPr txBox="1">
          <a:spLocks noChangeArrowheads="1"/>
        </xdr:cNvSpPr>
      </xdr:nvSpPr>
      <xdr:spPr bwMode="auto">
        <a:xfrm>
          <a:off x="2508159" y="4370319"/>
          <a:ext cx="1726928" cy="63873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15</xdr:row>
      <xdr:rowOff>293619</xdr:rowOff>
    </xdr:from>
    <xdr:to>
      <xdr:col>3</xdr:col>
      <xdr:colOff>488587</xdr:colOff>
      <xdr:row>18</xdr:row>
      <xdr:rowOff>30654</xdr:rowOff>
    </xdr:to>
    <xdr:sp macro="" textlink="">
      <xdr:nvSpPr>
        <xdr:cNvPr id="3" name="Text Box 1" hidden="1">
          <a:extLst>
            <a:ext uri="{FF2B5EF4-FFF2-40B4-BE49-F238E27FC236}">
              <a16:creationId xmlns:a16="http://schemas.microsoft.com/office/drawing/2014/main" id="{93A44437-E232-4E03-A6ED-C6194F9F162F}"/>
            </a:ext>
          </a:extLst>
        </xdr:cNvPr>
        <xdr:cNvSpPr txBox="1">
          <a:spLocks noChangeArrowheads="1"/>
        </xdr:cNvSpPr>
      </xdr:nvSpPr>
      <xdr:spPr bwMode="auto">
        <a:xfrm>
          <a:off x="2508159" y="4370319"/>
          <a:ext cx="1726928" cy="6387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15</xdr:row>
      <xdr:rowOff>251921</xdr:rowOff>
    </xdr:from>
    <xdr:to>
      <xdr:col>4</xdr:col>
      <xdr:colOff>0</xdr:colOff>
      <xdr:row>17</xdr:row>
      <xdr:rowOff>172545</xdr:rowOff>
    </xdr:to>
    <xdr:sp macro="" textlink="">
      <xdr:nvSpPr>
        <xdr:cNvPr id="4" name="Text Box 7" hidden="1">
          <a:extLst>
            <a:ext uri="{FF2B5EF4-FFF2-40B4-BE49-F238E27FC236}">
              <a16:creationId xmlns:a16="http://schemas.microsoft.com/office/drawing/2014/main" id="{359EDFB7-1E51-4760-827F-6E66C7DC2639}"/>
            </a:ext>
          </a:extLst>
        </xdr:cNvPr>
        <xdr:cNvSpPr txBox="1">
          <a:spLocks noChangeArrowheads="1"/>
        </xdr:cNvSpPr>
      </xdr:nvSpPr>
      <xdr:spPr bwMode="auto">
        <a:xfrm>
          <a:off x="3136900" y="4328621"/>
          <a:ext cx="1371600" cy="6381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15</xdr:row>
      <xdr:rowOff>251921</xdr:rowOff>
    </xdr:from>
    <xdr:to>
      <xdr:col>4</xdr:col>
      <xdr:colOff>0</xdr:colOff>
      <xdr:row>17</xdr:row>
      <xdr:rowOff>172545</xdr:rowOff>
    </xdr:to>
    <xdr:sp macro="" textlink="">
      <xdr:nvSpPr>
        <xdr:cNvPr id="5" name="Text Box 8" hidden="1">
          <a:extLst>
            <a:ext uri="{FF2B5EF4-FFF2-40B4-BE49-F238E27FC236}">
              <a16:creationId xmlns:a16="http://schemas.microsoft.com/office/drawing/2014/main" id="{1DC8EFBE-C920-4D6F-9CF0-350788EC2A51}"/>
            </a:ext>
          </a:extLst>
        </xdr:cNvPr>
        <xdr:cNvSpPr txBox="1">
          <a:spLocks noChangeArrowheads="1"/>
        </xdr:cNvSpPr>
      </xdr:nvSpPr>
      <xdr:spPr bwMode="auto">
        <a:xfrm>
          <a:off x="3136900" y="4328621"/>
          <a:ext cx="1371600" cy="6381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15</xdr:row>
      <xdr:rowOff>251921</xdr:rowOff>
    </xdr:from>
    <xdr:to>
      <xdr:col>4</xdr:col>
      <xdr:colOff>0</xdr:colOff>
      <xdr:row>17</xdr:row>
      <xdr:rowOff>172545</xdr:rowOff>
    </xdr:to>
    <xdr:sp macro="" textlink="">
      <xdr:nvSpPr>
        <xdr:cNvPr id="6" name="Text Box 9" hidden="1">
          <a:extLst>
            <a:ext uri="{FF2B5EF4-FFF2-40B4-BE49-F238E27FC236}">
              <a16:creationId xmlns:a16="http://schemas.microsoft.com/office/drawing/2014/main" id="{8E326B86-A2F3-4526-A7C2-53ED4C3FC812}"/>
            </a:ext>
          </a:extLst>
        </xdr:cNvPr>
        <xdr:cNvSpPr txBox="1">
          <a:spLocks noChangeArrowheads="1"/>
        </xdr:cNvSpPr>
      </xdr:nvSpPr>
      <xdr:spPr bwMode="auto">
        <a:xfrm>
          <a:off x="3136900" y="4328621"/>
          <a:ext cx="1371600" cy="6381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15</xdr:row>
      <xdr:rowOff>220806</xdr:rowOff>
    </xdr:from>
    <xdr:to>
      <xdr:col>4</xdr:col>
      <xdr:colOff>0</xdr:colOff>
      <xdr:row>17</xdr:row>
      <xdr:rowOff>172545</xdr:rowOff>
    </xdr:to>
    <xdr:sp macro="" textlink="">
      <xdr:nvSpPr>
        <xdr:cNvPr id="7" name="Text Box 10" hidden="1">
          <a:extLst>
            <a:ext uri="{FF2B5EF4-FFF2-40B4-BE49-F238E27FC236}">
              <a16:creationId xmlns:a16="http://schemas.microsoft.com/office/drawing/2014/main" id="{96DF0FB4-9E06-4663-875D-6765DAE39477}"/>
            </a:ext>
          </a:extLst>
        </xdr:cNvPr>
        <xdr:cNvSpPr txBox="1">
          <a:spLocks noChangeArrowheads="1"/>
        </xdr:cNvSpPr>
      </xdr:nvSpPr>
      <xdr:spPr bwMode="auto">
        <a:xfrm>
          <a:off x="3136900" y="4297506"/>
          <a:ext cx="1371600" cy="6692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15</xdr:row>
      <xdr:rowOff>213821</xdr:rowOff>
    </xdr:from>
    <xdr:to>
      <xdr:col>4</xdr:col>
      <xdr:colOff>0</xdr:colOff>
      <xdr:row>17</xdr:row>
      <xdr:rowOff>172545</xdr:rowOff>
    </xdr:to>
    <xdr:sp macro="" textlink="">
      <xdr:nvSpPr>
        <xdr:cNvPr id="8" name="Text Box 11" hidden="1">
          <a:extLst>
            <a:ext uri="{FF2B5EF4-FFF2-40B4-BE49-F238E27FC236}">
              <a16:creationId xmlns:a16="http://schemas.microsoft.com/office/drawing/2014/main" id="{0D01E622-89C6-4302-B089-DF097CBF1158}"/>
            </a:ext>
          </a:extLst>
        </xdr:cNvPr>
        <xdr:cNvSpPr txBox="1">
          <a:spLocks noChangeArrowheads="1"/>
        </xdr:cNvSpPr>
      </xdr:nvSpPr>
      <xdr:spPr bwMode="auto">
        <a:xfrm>
          <a:off x="3136900" y="4290521"/>
          <a:ext cx="1371600" cy="676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212165</xdr:rowOff>
    </xdr:from>
    <xdr:to>
      <xdr:col>4</xdr:col>
      <xdr:colOff>0</xdr:colOff>
      <xdr:row>19</xdr:row>
      <xdr:rowOff>255084</xdr:rowOff>
    </xdr:to>
    <xdr:sp macro="" textlink="">
      <xdr:nvSpPr>
        <xdr:cNvPr id="9" name="Text Box 12" hidden="1">
          <a:extLst>
            <a:ext uri="{FF2B5EF4-FFF2-40B4-BE49-F238E27FC236}">
              <a16:creationId xmlns:a16="http://schemas.microsoft.com/office/drawing/2014/main" id="{826D01FD-9395-4AFF-9481-A922FD866734}"/>
            </a:ext>
          </a:extLst>
        </xdr:cNvPr>
        <xdr:cNvSpPr txBox="1">
          <a:spLocks noChangeArrowheads="1"/>
        </xdr:cNvSpPr>
      </xdr:nvSpPr>
      <xdr:spPr bwMode="auto">
        <a:xfrm>
          <a:off x="3136900" y="4606365"/>
          <a:ext cx="1371600" cy="8112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212165</xdr:rowOff>
    </xdr:from>
    <xdr:to>
      <xdr:col>4</xdr:col>
      <xdr:colOff>0</xdr:colOff>
      <xdr:row>19</xdr:row>
      <xdr:rowOff>255084</xdr:rowOff>
    </xdr:to>
    <xdr:sp macro="" textlink="">
      <xdr:nvSpPr>
        <xdr:cNvPr id="10" name="Text Box 13" hidden="1">
          <a:extLst>
            <a:ext uri="{FF2B5EF4-FFF2-40B4-BE49-F238E27FC236}">
              <a16:creationId xmlns:a16="http://schemas.microsoft.com/office/drawing/2014/main" id="{CC105438-8369-4FDC-9E4D-220871707F7F}"/>
            </a:ext>
          </a:extLst>
        </xdr:cNvPr>
        <xdr:cNvSpPr txBox="1">
          <a:spLocks noChangeArrowheads="1"/>
        </xdr:cNvSpPr>
      </xdr:nvSpPr>
      <xdr:spPr bwMode="auto">
        <a:xfrm>
          <a:off x="3136900" y="4606365"/>
          <a:ext cx="1371600" cy="8112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212165</xdr:rowOff>
    </xdr:from>
    <xdr:to>
      <xdr:col>4</xdr:col>
      <xdr:colOff>0</xdr:colOff>
      <xdr:row>19</xdr:row>
      <xdr:rowOff>255084</xdr:rowOff>
    </xdr:to>
    <xdr:sp macro="" textlink="">
      <xdr:nvSpPr>
        <xdr:cNvPr id="11" name="Text Box 14" hidden="1">
          <a:extLst>
            <a:ext uri="{FF2B5EF4-FFF2-40B4-BE49-F238E27FC236}">
              <a16:creationId xmlns:a16="http://schemas.microsoft.com/office/drawing/2014/main" id="{25B300A6-483C-40F3-A045-237531CD465C}"/>
            </a:ext>
          </a:extLst>
        </xdr:cNvPr>
        <xdr:cNvSpPr txBox="1">
          <a:spLocks noChangeArrowheads="1"/>
        </xdr:cNvSpPr>
      </xdr:nvSpPr>
      <xdr:spPr bwMode="auto">
        <a:xfrm>
          <a:off x="3136900" y="4606365"/>
          <a:ext cx="1371600" cy="8112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212165</xdr:rowOff>
    </xdr:from>
    <xdr:to>
      <xdr:col>4</xdr:col>
      <xdr:colOff>0</xdr:colOff>
      <xdr:row>19</xdr:row>
      <xdr:rowOff>255084</xdr:rowOff>
    </xdr:to>
    <xdr:sp macro="" textlink="">
      <xdr:nvSpPr>
        <xdr:cNvPr id="12" name="Text Box 15" hidden="1">
          <a:extLst>
            <a:ext uri="{FF2B5EF4-FFF2-40B4-BE49-F238E27FC236}">
              <a16:creationId xmlns:a16="http://schemas.microsoft.com/office/drawing/2014/main" id="{537F12DD-A75A-4CA8-B81F-8A606331019F}"/>
            </a:ext>
          </a:extLst>
        </xdr:cNvPr>
        <xdr:cNvSpPr txBox="1">
          <a:spLocks noChangeArrowheads="1"/>
        </xdr:cNvSpPr>
      </xdr:nvSpPr>
      <xdr:spPr bwMode="auto">
        <a:xfrm>
          <a:off x="3136900" y="4606365"/>
          <a:ext cx="1371600" cy="8112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212165</xdr:rowOff>
    </xdr:from>
    <xdr:to>
      <xdr:col>4</xdr:col>
      <xdr:colOff>0</xdr:colOff>
      <xdr:row>19</xdr:row>
      <xdr:rowOff>255084</xdr:rowOff>
    </xdr:to>
    <xdr:sp macro="" textlink="">
      <xdr:nvSpPr>
        <xdr:cNvPr id="13" name="Text Box 16" hidden="1">
          <a:extLst>
            <a:ext uri="{FF2B5EF4-FFF2-40B4-BE49-F238E27FC236}">
              <a16:creationId xmlns:a16="http://schemas.microsoft.com/office/drawing/2014/main" id="{F1FFE150-178B-4CB5-968B-770FCB9F6359}"/>
            </a:ext>
          </a:extLst>
        </xdr:cNvPr>
        <xdr:cNvSpPr txBox="1">
          <a:spLocks noChangeArrowheads="1"/>
        </xdr:cNvSpPr>
      </xdr:nvSpPr>
      <xdr:spPr bwMode="auto">
        <a:xfrm>
          <a:off x="3136900" y="4606365"/>
          <a:ext cx="1371600" cy="8112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212165</xdr:rowOff>
    </xdr:from>
    <xdr:to>
      <xdr:col>4</xdr:col>
      <xdr:colOff>0</xdr:colOff>
      <xdr:row>19</xdr:row>
      <xdr:rowOff>255084</xdr:rowOff>
    </xdr:to>
    <xdr:sp macro="" textlink="">
      <xdr:nvSpPr>
        <xdr:cNvPr id="14" name="Text Box 17" hidden="1">
          <a:extLst>
            <a:ext uri="{FF2B5EF4-FFF2-40B4-BE49-F238E27FC236}">
              <a16:creationId xmlns:a16="http://schemas.microsoft.com/office/drawing/2014/main" id="{8CEBF505-56A7-49F1-A35B-82F5B1667D4F}"/>
            </a:ext>
          </a:extLst>
        </xdr:cNvPr>
        <xdr:cNvSpPr txBox="1">
          <a:spLocks noChangeArrowheads="1"/>
        </xdr:cNvSpPr>
      </xdr:nvSpPr>
      <xdr:spPr bwMode="auto">
        <a:xfrm>
          <a:off x="3136900" y="4606365"/>
          <a:ext cx="1371600" cy="8112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212165</xdr:rowOff>
    </xdr:from>
    <xdr:to>
      <xdr:col>4</xdr:col>
      <xdr:colOff>0</xdr:colOff>
      <xdr:row>19</xdr:row>
      <xdr:rowOff>255084</xdr:rowOff>
    </xdr:to>
    <xdr:sp macro="" textlink="">
      <xdr:nvSpPr>
        <xdr:cNvPr id="15" name="Text Box 18" hidden="1">
          <a:extLst>
            <a:ext uri="{FF2B5EF4-FFF2-40B4-BE49-F238E27FC236}">
              <a16:creationId xmlns:a16="http://schemas.microsoft.com/office/drawing/2014/main" id="{DBD1B69D-525C-4C95-9D44-6EEB7296FEE0}"/>
            </a:ext>
          </a:extLst>
        </xdr:cNvPr>
        <xdr:cNvSpPr txBox="1">
          <a:spLocks noChangeArrowheads="1"/>
        </xdr:cNvSpPr>
      </xdr:nvSpPr>
      <xdr:spPr bwMode="auto">
        <a:xfrm>
          <a:off x="3136900" y="4606365"/>
          <a:ext cx="1371600" cy="8112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100604</xdr:rowOff>
    </xdr:from>
    <xdr:to>
      <xdr:col>4</xdr:col>
      <xdr:colOff>0</xdr:colOff>
      <xdr:row>32</xdr:row>
      <xdr:rowOff>65575</xdr:rowOff>
    </xdr:to>
    <xdr:sp macro="" textlink="">
      <xdr:nvSpPr>
        <xdr:cNvPr id="16" name="Text Box 19" hidden="1">
          <a:extLst>
            <a:ext uri="{FF2B5EF4-FFF2-40B4-BE49-F238E27FC236}">
              <a16:creationId xmlns:a16="http://schemas.microsoft.com/office/drawing/2014/main" id="{5B7261B1-1F00-432E-82AF-7FFD87676C4B}"/>
            </a:ext>
          </a:extLst>
        </xdr:cNvPr>
        <xdr:cNvSpPr txBox="1">
          <a:spLocks noChangeArrowheads="1"/>
        </xdr:cNvSpPr>
      </xdr:nvSpPr>
      <xdr:spPr bwMode="auto">
        <a:xfrm>
          <a:off x="3136900" y="6996704"/>
          <a:ext cx="1371600" cy="14254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100604</xdr:rowOff>
    </xdr:from>
    <xdr:to>
      <xdr:col>4</xdr:col>
      <xdr:colOff>0</xdr:colOff>
      <xdr:row>32</xdr:row>
      <xdr:rowOff>65575</xdr:rowOff>
    </xdr:to>
    <xdr:sp macro="" textlink="">
      <xdr:nvSpPr>
        <xdr:cNvPr id="17" name="Text Box 20" hidden="1">
          <a:extLst>
            <a:ext uri="{FF2B5EF4-FFF2-40B4-BE49-F238E27FC236}">
              <a16:creationId xmlns:a16="http://schemas.microsoft.com/office/drawing/2014/main" id="{A153FCFD-1DEC-4736-B7DC-8F6788244771}"/>
            </a:ext>
          </a:extLst>
        </xdr:cNvPr>
        <xdr:cNvSpPr txBox="1">
          <a:spLocks noChangeArrowheads="1"/>
        </xdr:cNvSpPr>
      </xdr:nvSpPr>
      <xdr:spPr bwMode="auto">
        <a:xfrm>
          <a:off x="3136900" y="6996704"/>
          <a:ext cx="1371600" cy="14254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139265</xdr:rowOff>
    </xdr:to>
    <xdr:sp macro="" textlink="">
      <xdr:nvSpPr>
        <xdr:cNvPr id="18" name="Text Box 21" hidden="1">
          <a:extLst>
            <a:ext uri="{FF2B5EF4-FFF2-40B4-BE49-F238E27FC236}">
              <a16:creationId xmlns:a16="http://schemas.microsoft.com/office/drawing/2014/main" id="{1FD11164-2312-485E-9C42-A43C4D194B9E}"/>
            </a:ext>
          </a:extLst>
        </xdr:cNvPr>
        <xdr:cNvSpPr txBox="1">
          <a:spLocks noChangeArrowheads="1"/>
        </xdr:cNvSpPr>
      </xdr:nvSpPr>
      <xdr:spPr bwMode="auto">
        <a:xfrm>
          <a:off x="3136900" y="6188199"/>
          <a:ext cx="1371600" cy="1342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19" name="Text Box 22" hidden="1">
          <a:extLst>
            <a:ext uri="{FF2B5EF4-FFF2-40B4-BE49-F238E27FC236}">
              <a16:creationId xmlns:a16="http://schemas.microsoft.com/office/drawing/2014/main" id="{08EBFD05-7358-4156-B30A-86ED30DF4FF6}"/>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0" name="Text Box 23" hidden="1">
          <a:extLst>
            <a:ext uri="{FF2B5EF4-FFF2-40B4-BE49-F238E27FC236}">
              <a16:creationId xmlns:a16="http://schemas.microsoft.com/office/drawing/2014/main" id="{2D7CF7FE-B047-4DCD-904F-003452722FBF}"/>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1" name="Text Box 24" hidden="1">
          <a:extLst>
            <a:ext uri="{FF2B5EF4-FFF2-40B4-BE49-F238E27FC236}">
              <a16:creationId xmlns:a16="http://schemas.microsoft.com/office/drawing/2014/main" id="{4D404169-CFFA-4424-8FEF-9974BA08E647}"/>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2" name="Text Box 27" hidden="1">
          <a:extLst>
            <a:ext uri="{FF2B5EF4-FFF2-40B4-BE49-F238E27FC236}">
              <a16:creationId xmlns:a16="http://schemas.microsoft.com/office/drawing/2014/main" id="{A81E5D4C-3035-45A8-AAF8-AD4BF1BA1DEF}"/>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3" name="Text Box 26" hidden="1">
          <a:extLst>
            <a:ext uri="{FF2B5EF4-FFF2-40B4-BE49-F238E27FC236}">
              <a16:creationId xmlns:a16="http://schemas.microsoft.com/office/drawing/2014/main" id="{AD8C6BBB-48D2-4A5B-B88E-859504EE2BA7}"/>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4" name="Text Box 25" hidden="1">
          <a:extLst>
            <a:ext uri="{FF2B5EF4-FFF2-40B4-BE49-F238E27FC236}">
              <a16:creationId xmlns:a16="http://schemas.microsoft.com/office/drawing/2014/main" id="{745D5FB2-F12E-4D2C-A18B-2CE0C7842127}"/>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5" name="Text Box 30" hidden="1">
          <a:extLst>
            <a:ext uri="{FF2B5EF4-FFF2-40B4-BE49-F238E27FC236}">
              <a16:creationId xmlns:a16="http://schemas.microsoft.com/office/drawing/2014/main" id="{89E972E6-C86A-4B2B-A16C-67FECF1017BF}"/>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6" name="Text Box 29" hidden="1">
          <a:extLst>
            <a:ext uri="{FF2B5EF4-FFF2-40B4-BE49-F238E27FC236}">
              <a16:creationId xmlns:a16="http://schemas.microsoft.com/office/drawing/2014/main" id="{7E664114-AA9F-4CAA-9FA5-DD0CC32DD695}"/>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7" name="Text Box 28" hidden="1">
          <a:extLst>
            <a:ext uri="{FF2B5EF4-FFF2-40B4-BE49-F238E27FC236}">
              <a16:creationId xmlns:a16="http://schemas.microsoft.com/office/drawing/2014/main" id="{7F2F4AEF-C071-4E4B-B168-0A868CFB1C5B}"/>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8" name="Text Box 31" hidden="1">
          <a:extLst>
            <a:ext uri="{FF2B5EF4-FFF2-40B4-BE49-F238E27FC236}">
              <a16:creationId xmlns:a16="http://schemas.microsoft.com/office/drawing/2014/main" id="{0BA998EA-C368-48A8-9333-C51A08045196}"/>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29" name="Text Box 32" hidden="1">
          <a:extLst>
            <a:ext uri="{FF2B5EF4-FFF2-40B4-BE49-F238E27FC236}">
              <a16:creationId xmlns:a16="http://schemas.microsoft.com/office/drawing/2014/main" id="{342075AC-012C-46A0-BEA5-D774579193B2}"/>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30" name="Text Box 33" hidden="1">
          <a:extLst>
            <a:ext uri="{FF2B5EF4-FFF2-40B4-BE49-F238E27FC236}">
              <a16:creationId xmlns:a16="http://schemas.microsoft.com/office/drawing/2014/main" id="{B72D9044-07C1-4669-8105-45DABFBCD1F6}"/>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31" name="Text Box 34" hidden="1">
          <a:extLst>
            <a:ext uri="{FF2B5EF4-FFF2-40B4-BE49-F238E27FC236}">
              <a16:creationId xmlns:a16="http://schemas.microsoft.com/office/drawing/2014/main" id="{ED65D27B-2D04-446A-903A-61D50DF0A11C}"/>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28699</xdr:rowOff>
    </xdr:from>
    <xdr:to>
      <xdr:col>4</xdr:col>
      <xdr:colOff>0</xdr:colOff>
      <xdr:row>28</xdr:row>
      <xdr:rowOff>120215</xdr:rowOff>
    </xdr:to>
    <xdr:sp macro="" textlink="">
      <xdr:nvSpPr>
        <xdr:cNvPr id="32" name="Text Box 35" hidden="1">
          <a:extLst>
            <a:ext uri="{FF2B5EF4-FFF2-40B4-BE49-F238E27FC236}">
              <a16:creationId xmlns:a16="http://schemas.microsoft.com/office/drawing/2014/main" id="{F528349F-769C-4561-B7E8-B34FD22A1CA9}"/>
            </a:ext>
          </a:extLst>
        </xdr:cNvPr>
        <xdr:cNvSpPr txBox="1">
          <a:spLocks noChangeArrowheads="1"/>
        </xdr:cNvSpPr>
      </xdr:nvSpPr>
      <xdr:spPr bwMode="auto">
        <a:xfrm>
          <a:off x="3136900" y="6188199"/>
          <a:ext cx="1371600" cy="132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246530</xdr:rowOff>
    </xdr:from>
    <xdr:to>
      <xdr:col>4</xdr:col>
      <xdr:colOff>0</xdr:colOff>
      <xdr:row>21</xdr:row>
      <xdr:rowOff>83172</xdr:rowOff>
    </xdr:to>
    <xdr:sp macro="" textlink="">
      <xdr:nvSpPr>
        <xdr:cNvPr id="33" name="Text Box 36" hidden="1">
          <a:extLst>
            <a:ext uri="{FF2B5EF4-FFF2-40B4-BE49-F238E27FC236}">
              <a16:creationId xmlns:a16="http://schemas.microsoft.com/office/drawing/2014/main" id="{1D7D22BD-5CF0-450E-A21B-27D8E676372A}"/>
            </a:ext>
          </a:extLst>
        </xdr:cNvPr>
        <xdr:cNvSpPr txBox="1">
          <a:spLocks noChangeArrowheads="1"/>
        </xdr:cNvSpPr>
      </xdr:nvSpPr>
      <xdr:spPr bwMode="auto">
        <a:xfrm>
          <a:off x="3136900" y="4640730"/>
          <a:ext cx="1371600" cy="14177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34" name="Text Box 37" hidden="1">
          <a:extLst>
            <a:ext uri="{FF2B5EF4-FFF2-40B4-BE49-F238E27FC236}">
              <a16:creationId xmlns:a16="http://schemas.microsoft.com/office/drawing/2014/main" id="{5565B01F-24D7-4B32-BC37-37B55605B9A6}"/>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19</xdr:row>
      <xdr:rowOff>301439</xdr:rowOff>
    </xdr:from>
    <xdr:to>
      <xdr:col>3</xdr:col>
      <xdr:colOff>609600</xdr:colOff>
      <xdr:row>22</xdr:row>
      <xdr:rowOff>67857</xdr:rowOff>
    </xdr:to>
    <xdr:sp macro="" textlink="">
      <xdr:nvSpPr>
        <xdr:cNvPr id="35" name="Text Box 38" hidden="1">
          <a:extLst>
            <a:ext uri="{FF2B5EF4-FFF2-40B4-BE49-F238E27FC236}">
              <a16:creationId xmlns:a16="http://schemas.microsoft.com/office/drawing/2014/main" id="{C7D03BC1-D65E-4850-B2A2-335F5178F3AE}"/>
            </a:ext>
          </a:extLst>
        </xdr:cNvPr>
        <xdr:cNvSpPr txBox="1">
          <a:spLocks noChangeArrowheads="1"/>
        </xdr:cNvSpPr>
      </xdr:nvSpPr>
      <xdr:spPr bwMode="auto">
        <a:xfrm>
          <a:off x="3079750" y="5463989"/>
          <a:ext cx="1276350" cy="7633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247589</xdr:rowOff>
    </xdr:from>
    <xdr:to>
      <xdr:col>4</xdr:col>
      <xdr:colOff>0</xdr:colOff>
      <xdr:row>21</xdr:row>
      <xdr:rowOff>81056</xdr:rowOff>
    </xdr:to>
    <xdr:sp macro="" textlink="">
      <xdr:nvSpPr>
        <xdr:cNvPr id="36" name="Text Box 3" hidden="1">
          <a:extLst>
            <a:ext uri="{FF2B5EF4-FFF2-40B4-BE49-F238E27FC236}">
              <a16:creationId xmlns:a16="http://schemas.microsoft.com/office/drawing/2014/main" id="{26B1F456-73D3-495A-A6C5-1ED5F7AB44B0}"/>
            </a:ext>
          </a:extLst>
        </xdr:cNvPr>
        <xdr:cNvSpPr txBox="1">
          <a:spLocks noChangeArrowheads="1"/>
        </xdr:cNvSpPr>
      </xdr:nvSpPr>
      <xdr:spPr bwMode="auto">
        <a:xfrm>
          <a:off x="3136900" y="4641789"/>
          <a:ext cx="1371600" cy="1414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37" name="Text Box 2" hidden="1">
          <a:extLst>
            <a:ext uri="{FF2B5EF4-FFF2-40B4-BE49-F238E27FC236}">
              <a16:creationId xmlns:a16="http://schemas.microsoft.com/office/drawing/2014/main" id="{00836F4D-E61B-4855-BE42-91E4A1B3C3E1}"/>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247589</xdr:rowOff>
    </xdr:from>
    <xdr:to>
      <xdr:col>4</xdr:col>
      <xdr:colOff>0</xdr:colOff>
      <xdr:row>21</xdr:row>
      <xdr:rowOff>81056</xdr:rowOff>
    </xdr:to>
    <xdr:sp macro="" textlink="">
      <xdr:nvSpPr>
        <xdr:cNvPr id="38" name="Text Box 5" hidden="1">
          <a:extLst>
            <a:ext uri="{FF2B5EF4-FFF2-40B4-BE49-F238E27FC236}">
              <a16:creationId xmlns:a16="http://schemas.microsoft.com/office/drawing/2014/main" id="{A8787B02-C15E-40BE-A4F8-24263064B81E}"/>
            </a:ext>
          </a:extLst>
        </xdr:cNvPr>
        <xdr:cNvSpPr txBox="1">
          <a:spLocks noChangeArrowheads="1"/>
        </xdr:cNvSpPr>
      </xdr:nvSpPr>
      <xdr:spPr bwMode="auto">
        <a:xfrm>
          <a:off x="3136900" y="4641789"/>
          <a:ext cx="1371600" cy="1414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39" name="Text Box 4" hidden="1">
          <a:extLst>
            <a:ext uri="{FF2B5EF4-FFF2-40B4-BE49-F238E27FC236}">
              <a16:creationId xmlns:a16="http://schemas.microsoft.com/office/drawing/2014/main" id="{399E5C09-701E-4907-8FC6-21C9C4FF4142}"/>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247589</xdr:rowOff>
    </xdr:from>
    <xdr:to>
      <xdr:col>4</xdr:col>
      <xdr:colOff>0</xdr:colOff>
      <xdr:row>21</xdr:row>
      <xdr:rowOff>81056</xdr:rowOff>
    </xdr:to>
    <xdr:sp macro="" textlink="">
      <xdr:nvSpPr>
        <xdr:cNvPr id="40" name="Text Box 7" hidden="1">
          <a:extLst>
            <a:ext uri="{FF2B5EF4-FFF2-40B4-BE49-F238E27FC236}">
              <a16:creationId xmlns:a16="http://schemas.microsoft.com/office/drawing/2014/main" id="{54C245A7-BD8D-4C60-85E6-595D641BDF4C}"/>
            </a:ext>
          </a:extLst>
        </xdr:cNvPr>
        <xdr:cNvSpPr txBox="1">
          <a:spLocks noChangeArrowheads="1"/>
        </xdr:cNvSpPr>
      </xdr:nvSpPr>
      <xdr:spPr bwMode="auto">
        <a:xfrm>
          <a:off x="3136900" y="4641789"/>
          <a:ext cx="1371600" cy="1414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41" name="Text Box 6" hidden="1">
          <a:extLst>
            <a:ext uri="{FF2B5EF4-FFF2-40B4-BE49-F238E27FC236}">
              <a16:creationId xmlns:a16="http://schemas.microsoft.com/office/drawing/2014/main" id="{BDDC8E26-9C97-46B7-96CF-B97C01A45124}"/>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247235</xdr:rowOff>
    </xdr:from>
    <xdr:to>
      <xdr:col>4</xdr:col>
      <xdr:colOff>0</xdr:colOff>
      <xdr:row>21</xdr:row>
      <xdr:rowOff>62006</xdr:rowOff>
    </xdr:to>
    <xdr:sp macro="" textlink="">
      <xdr:nvSpPr>
        <xdr:cNvPr id="42" name="Text Box 9" hidden="1">
          <a:extLst>
            <a:ext uri="{FF2B5EF4-FFF2-40B4-BE49-F238E27FC236}">
              <a16:creationId xmlns:a16="http://schemas.microsoft.com/office/drawing/2014/main" id="{97177E53-17C7-4B0B-AD56-91C3AE39CBA7}"/>
            </a:ext>
          </a:extLst>
        </xdr:cNvPr>
        <xdr:cNvSpPr txBox="1">
          <a:spLocks noChangeArrowheads="1"/>
        </xdr:cNvSpPr>
      </xdr:nvSpPr>
      <xdr:spPr bwMode="auto">
        <a:xfrm>
          <a:off x="3136900" y="4641435"/>
          <a:ext cx="1371600" cy="1395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43" name="Text Box 8" hidden="1">
          <a:extLst>
            <a:ext uri="{FF2B5EF4-FFF2-40B4-BE49-F238E27FC236}">
              <a16:creationId xmlns:a16="http://schemas.microsoft.com/office/drawing/2014/main" id="{9E9FBA87-59E2-44BC-836A-BA941DCD4AF9}"/>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14</xdr:row>
      <xdr:rowOff>132230</xdr:rowOff>
    </xdr:from>
    <xdr:to>
      <xdr:col>24</xdr:col>
      <xdr:colOff>152400</xdr:colOff>
      <xdr:row>17</xdr:row>
      <xdr:rowOff>29882</xdr:rowOff>
    </xdr:to>
    <xdr:sp macro="" textlink="">
      <xdr:nvSpPr>
        <xdr:cNvPr id="44" name="Text Box 13" hidden="1">
          <a:extLst>
            <a:ext uri="{FF2B5EF4-FFF2-40B4-BE49-F238E27FC236}">
              <a16:creationId xmlns:a16="http://schemas.microsoft.com/office/drawing/2014/main" id="{6D492984-FE58-4D2B-A8D6-5B1A7E1CC399}"/>
            </a:ext>
          </a:extLst>
        </xdr:cNvPr>
        <xdr:cNvSpPr txBox="1">
          <a:spLocks noChangeArrowheads="1"/>
        </xdr:cNvSpPr>
      </xdr:nvSpPr>
      <xdr:spPr bwMode="auto">
        <a:xfrm>
          <a:off x="15894050" y="4024780"/>
          <a:ext cx="1358900" cy="7993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249494</xdr:rowOff>
    </xdr:from>
    <xdr:to>
      <xdr:col>4</xdr:col>
      <xdr:colOff>0</xdr:colOff>
      <xdr:row>21</xdr:row>
      <xdr:rowOff>62006</xdr:rowOff>
    </xdr:to>
    <xdr:sp macro="" textlink="">
      <xdr:nvSpPr>
        <xdr:cNvPr id="45" name="Text Box 16" hidden="1">
          <a:extLst>
            <a:ext uri="{FF2B5EF4-FFF2-40B4-BE49-F238E27FC236}">
              <a16:creationId xmlns:a16="http://schemas.microsoft.com/office/drawing/2014/main" id="{2C366F61-58AA-43D2-9D61-4F56D0EF02FF}"/>
            </a:ext>
          </a:extLst>
        </xdr:cNvPr>
        <xdr:cNvSpPr txBox="1">
          <a:spLocks noChangeArrowheads="1"/>
        </xdr:cNvSpPr>
      </xdr:nvSpPr>
      <xdr:spPr bwMode="auto">
        <a:xfrm>
          <a:off x="3136900" y="4643694"/>
          <a:ext cx="1371600" cy="1393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46" name="Text Box 15" hidden="1">
          <a:extLst>
            <a:ext uri="{FF2B5EF4-FFF2-40B4-BE49-F238E27FC236}">
              <a16:creationId xmlns:a16="http://schemas.microsoft.com/office/drawing/2014/main" id="{D6347AB1-66E1-4B7F-8E3E-B9A717F72E54}"/>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14</xdr:row>
      <xdr:rowOff>132230</xdr:rowOff>
    </xdr:from>
    <xdr:to>
      <xdr:col>24</xdr:col>
      <xdr:colOff>152400</xdr:colOff>
      <xdr:row>17</xdr:row>
      <xdr:rowOff>29882</xdr:rowOff>
    </xdr:to>
    <xdr:sp macro="" textlink="">
      <xdr:nvSpPr>
        <xdr:cNvPr id="47" name="Text Box 14" hidden="1">
          <a:extLst>
            <a:ext uri="{FF2B5EF4-FFF2-40B4-BE49-F238E27FC236}">
              <a16:creationId xmlns:a16="http://schemas.microsoft.com/office/drawing/2014/main" id="{62D152BF-D2FF-44FD-84AE-AE7C450CF98C}"/>
            </a:ext>
          </a:extLst>
        </xdr:cNvPr>
        <xdr:cNvSpPr txBox="1">
          <a:spLocks noChangeArrowheads="1"/>
        </xdr:cNvSpPr>
      </xdr:nvSpPr>
      <xdr:spPr bwMode="auto">
        <a:xfrm>
          <a:off x="15894050" y="4024780"/>
          <a:ext cx="1358900" cy="7993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xdr:row>
      <xdr:rowOff>151280</xdr:rowOff>
    </xdr:from>
    <xdr:to>
      <xdr:col>23</xdr:col>
      <xdr:colOff>133350</xdr:colOff>
      <xdr:row>17</xdr:row>
      <xdr:rowOff>29882</xdr:rowOff>
    </xdr:to>
    <xdr:sp macro="" textlink="">
      <xdr:nvSpPr>
        <xdr:cNvPr id="48" name="Text Box 17" hidden="1">
          <a:extLst>
            <a:ext uri="{FF2B5EF4-FFF2-40B4-BE49-F238E27FC236}">
              <a16:creationId xmlns:a16="http://schemas.microsoft.com/office/drawing/2014/main" id="{CDEBC869-DAAA-42FB-A946-7765868F2EFE}"/>
            </a:ext>
          </a:extLst>
        </xdr:cNvPr>
        <xdr:cNvSpPr txBox="1">
          <a:spLocks noChangeArrowheads="1"/>
        </xdr:cNvSpPr>
      </xdr:nvSpPr>
      <xdr:spPr bwMode="auto">
        <a:xfrm>
          <a:off x="15271750" y="4043830"/>
          <a:ext cx="1320800" cy="7803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30</xdr:row>
      <xdr:rowOff>222499</xdr:rowOff>
    </xdr:from>
    <xdr:to>
      <xdr:col>23</xdr:col>
      <xdr:colOff>133350</xdr:colOff>
      <xdr:row>34</xdr:row>
      <xdr:rowOff>64870</xdr:rowOff>
    </xdr:to>
    <xdr:sp macro="" textlink="">
      <xdr:nvSpPr>
        <xdr:cNvPr id="49" name="Text Box 18" hidden="1">
          <a:extLst>
            <a:ext uri="{FF2B5EF4-FFF2-40B4-BE49-F238E27FC236}">
              <a16:creationId xmlns:a16="http://schemas.microsoft.com/office/drawing/2014/main" id="{F24A04A7-6161-4C98-BF13-6123BC1C69F9}"/>
            </a:ext>
          </a:extLst>
        </xdr:cNvPr>
        <xdr:cNvSpPr txBox="1">
          <a:spLocks noChangeArrowheads="1"/>
        </xdr:cNvSpPr>
      </xdr:nvSpPr>
      <xdr:spPr bwMode="auto">
        <a:xfrm>
          <a:off x="15271750" y="8096499"/>
          <a:ext cx="1320800" cy="8075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246530</xdr:rowOff>
    </xdr:from>
    <xdr:to>
      <xdr:col>4</xdr:col>
      <xdr:colOff>0</xdr:colOff>
      <xdr:row>21</xdr:row>
      <xdr:rowOff>62006</xdr:rowOff>
    </xdr:to>
    <xdr:sp macro="" textlink="">
      <xdr:nvSpPr>
        <xdr:cNvPr id="50" name="Text Box 5" hidden="1">
          <a:extLst>
            <a:ext uri="{FF2B5EF4-FFF2-40B4-BE49-F238E27FC236}">
              <a16:creationId xmlns:a16="http://schemas.microsoft.com/office/drawing/2014/main" id="{91AEA21B-6D9C-4759-9B4C-6922C4E7E959}"/>
            </a:ext>
          </a:extLst>
        </xdr:cNvPr>
        <xdr:cNvSpPr txBox="1">
          <a:spLocks noChangeArrowheads="1"/>
        </xdr:cNvSpPr>
      </xdr:nvSpPr>
      <xdr:spPr bwMode="auto">
        <a:xfrm>
          <a:off x="3136900" y="4640730"/>
          <a:ext cx="1371600" cy="1396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51" name="Text Box 4" hidden="1">
          <a:extLst>
            <a:ext uri="{FF2B5EF4-FFF2-40B4-BE49-F238E27FC236}">
              <a16:creationId xmlns:a16="http://schemas.microsoft.com/office/drawing/2014/main" id="{C00E675B-5389-4D1D-B89A-E59333E5EAED}"/>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16</xdr:row>
      <xdr:rowOff>322730</xdr:rowOff>
    </xdr:from>
    <xdr:to>
      <xdr:col>24</xdr:col>
      <xdr:colOff>114300</xdr:colOff>
      <xdr:row>19</xdr:row>
      <xdr:rowOff>320489</xdr:rowOff>
    </xdr:to>
    <xdr:sp macro="" textlink="">
      <xdr:nvSpPr>
        <xdr:cNvPr id="52" name="Text Box 6" hidden="1">
          <a:extLst>
            <a:ext uri="{FF2B5EF4-FFF2-40B4-BE49-F238E27FC236}">
              <a16:creationId xmlns:a16="http://schemas.microsoft.com/office/drawing/2014/main" id="{DB76FEEE-2283-4C73-8C41-BA46C3863251}"/>
            </a:ext>
          </a:extLst>
        </xdr:cNvPr>
        <xdr:cNvSpPr txBox="1">
          <a:spLocks noChangeArrowheads="1"/>
        </xdr:cNvSpPr>
      </xdr:nvSpPr>
      <xdr:spPr bwMode="auto">
        <a:xfrm>
          <a:off x="15932150" y="4716930"/>
          <a:ext cx="1282700" cy="76610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246530</xdr:rowOff>
    </xdr:from>
    <xdr:to>
      <xdr:col>4</xdr:col>
      <xdr:colOff>0</xdr:colOff>
      <xdr:row>21</xdr:row>
      <xdr:rowOff>62006</xdr:rowOff>
    </xdr:to>
    <xdr:sp macro="" textlink="">
      <xdr:nvSpPr>
        <xdr:cNvPr id="53" name="Text Box 9" hidden="1">
          <a:extLst>
            <a:ext uri="{FF2B5EF4-FFF2-40B4-BE49-F238E27FC236}">
              <a16:creationId xmlns:a16="http://schemas.microsoft.com/office/drawing/2014/main" id="{C1D44F6A-8DC0-4C89-9D22-2FA1B774D408}"/>
            </a:ext>
          </a:extLst>
        </xdr:cNvPr>
        <xdr:cNvSpPr txBox="1">
          <a:spLocks noChangeArrowheads="1"/>
        </xdr:cNvSpPr>
      </xdr:nvSpPr>
      <xdr:spPr bwMode="auto">
        <a:xfrm>
          <a:off x="3136900" y="4640730"/>
          <a:ext cx="1371600" cy="1396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54" name="Text Box 8" hidden="1">
          <a:extLst>
            <a:ext uri="{FF2B5EF4-FFF2-40B4-BE49-F238E27FC236}">
              <a16:creationId xmlns:a16="http://schemas.microsoft.com/office/drawing/2014/main" id="{371CEE94-EC8F-4C2C-99C4-3BD58F193B60}"/>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16</xdr:row>
      <xdr:rowOff>322730</xdr:rowOff>
    </xdr:from>
    <xdr:to>
      <xdr:col>24</xdr:col>
      <xdr:colOff>114300</xdr:colOff>
      <xdr:row>19</xdr:row>
      <xdr:rowOff>320489</xdr:rowOff>
    </xdr:to>
    <xdr:sp macro="" textlink="">
      <xdr:nvSpPr>
        <xdr:cNvPr id="55" name="Text Box 7" hidden="1">
          <a:extLst>
            <a:ext uri="{FF2B5EF4-FFF2-40B4-BE49-F238E27FC236}">
              <a16:creationId xmlns:a16="http://schemas.microsoft.com/office/drawing/2014/main" id="{CDB04D22-5A3D-4169-A7B6-E158C3974286}"/>
            </a:ext>
          </a:extLst>
        </xdr:cNvPr>
        <xdr:cNvSpPr txBox="1">
          <a:spLocks noChangeArrowheads="1"/>
        </xdr:cNvSpPr>
      </xdr:nvSpPr>
      <xdr:spPr bwMode="auto">
        <a:xfrm>
          <a:off x="15932150" y="4716930"/>
          <a:ext cx="1282700" cy="7661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247589</xdr:rowOff>
    </xdr:from>
    <xdr:to>
      <xdr:col>4</xdr:col>
      <xdr:colOff>0</xdr:colOff>
      <xdr:row>21</xdr:row>
      <xdr:rowOff>52481</xdr:rowOff>
    </xdr:to>
    <xdr:sp macro="" textlink="">
      <xdr:nvSpPr>
        <xdr:cNvPr id="56" name="Text Box 12" hidden="1">
          <a:extLst>
            <a:ext uri="{FF2B5EF4-FFF2-40B4-BE49-F238E27FC236}">
              <a16:creationId xmlns:a16="http://schemas.microsoft.com/office/drawing/2014/main" id="{5E951B54-9683-48C0-A226-D83743F24F81}"/>
            </a:ext>
          </a:extLst>
        </xdr:cNvPr>
        <xdr:cNvSpPr txBox="1">
          <a:spLocks noChangeArrowheads="1"/>
        </xdr:cNvSpPr>
      </xdr:nvSpPr>
      <xdr:spPr bwMode="auto">
        <a:xfrm>
          <a:off x="3136900" y="4641789"/>
          <a:ext cx="1371600" cy="1386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57" name="Text Box 11" hidden="1">
          <a:extLst>
            <a:ext uri="{FF2B5EF4-FFF2-40B4-BE49-F238E27FC236}">
              <a16:creationId xmlns:a16="http://schemas.microsoft.com/office/drawing/2014/main" id="{6C32A5D8-5C6A-438E-8015-318B529D97A1}"/>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295275</xdr:colOff>
      <xdr:row>30</xdr:row>
      <xdr:rowOff>222499</xdr:rowOff>
    </xdr:to>
    <xdr:sp macro="" textlink="">
      <xdr:nvSpPr>
        <xdr:cNvPr id="58" name="Text Box 13" hidden="1">
          <a:extLst>
            <a:ext uri="{FF2B5EF4-FFF2-40B4-BE49-F238E27FC236}">
              <a16:creationId xmlns:a16="http://schemas.microsoft.com/office/drawing/2014/main" id="{DE80E7B1-8674-4535-8C2B-D86076873D40}"/>
            </a:ext>
          </a:extLst>
        </xdr:cNvPr>
        <xdr:cNvSpPr txBox="1">
          <a:spLocks noChangeArrowheads="1"/>
        </xdr:cNvSpPr>
      </xdr:nvSpPr>
      <xdr:spPr bwMode="auto">
        <a:xfrm>
          <a:off x="15970250" y="7342778"/>
          <a:ext cx="1425575" cy="7537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59" name="Text Box 16" hidden="1">
          <a:extLst>
            <a:ext uri="{FF2B5EF4-FFF2-40B4-BE49-F238E27FC236}">
              <a16:creationId xmlns:a16="http://schemas.microsoft.com/office/drawing/2014/main" id="{8E92010C-9D2E-4478-80E9-35196BFC3B38}"/>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60" name="Text Box 15" hidden="1">
          <a:extLst>
            <a:ext uri="{FF2B5EF4-FFF2-40B4-BE49-F238E27FC236}">
              <a16:creationId xmlns:a16="http://schemas.microsoft.com/office/drawing/2014/main" id="{AA6DE8C5-15C6-4529-AE4C-1376F2768191}"/>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61" name="Text Box 14" hidden="1">
          <a:extLst>
            <a:ext uri="{FF2B5EF4-FFF2-40B4-BE49-F238E27FC236}">
              <a16:creationId xmlns:a16="http://schemas.microsoft.com/office/drawing/2014/main" id="{AD2484BD-A751-4FF4-9DA4-4E9CB0BD2A97}"/>
            </a:ext>
          </a:extLst>
        </xdr:cNvPr>
        <xdr:cNvSpPr txBox="1">
          <a:spLocks noChangeArrowheads="1"/>
        </xdr:cNvSpPr>
      </xdr:nvSpPr>
      <xdr:spPr bwMode="auto">
        <a:xfrm>
          <a:off x="15970250" y="7342778"/>
          <a:ext cx="1416050" cy="7537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62" name="Text Box 17" hidden="1">
          <a:extLst>
            <a:ext uri="{FF2B5EF4-FFF2-40B4-BE49-F238E27FC236}">
              <a16:creationId xmlns:a16="http://schemas.microsoft.com/office/drawing/2014/main" id="{A370E210-D572-4C0F-B827-27D8C50E5152}"/>
            </a:ext>
          </a:extLst>
        </xdr:cNvPr>
        <xdr:cNvSpPr txBox="1">
          <a:spLocks noChangeArrowheads="1"/>
        </xdr:cNvSpPr>
      </xdr:nvSpPr>
      <xdr:spPr bwMode="auto">
        <a:xfrm>
          <a:off x="16554450" y="7140078"/>
          <a:ext cx="1339850" cy="7638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63" name="Text Box 18" hidden="1">
          <a:extLst>
            <a:ext uri="{FF2B5EF4-FFF2-40B4-BE49-F238E27FC236}">
              <a16:creationId xmlns:a16="http://schemas.microsoft.com/office/drawing/2014/main" id="{40C2E8C3-1335-405E-93A8-E5F05FA92A91}"/>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64" name="Text Box 10" hidden="1">
          <a:extLst>
            <a:ext uri="{FF2B5EF4-FFF2-40B4-BE49-F238E27FC236}">
              <a16:creationId xmlns:a16="http://schemas.microsoft.com/office/drawing/2014/main" id="{6F39D5F0-3924-48BA-A45B-0DA3060A058B}"/>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65" name="Text Box 9" hidden="1">
          <a:extLst>
            <a:ext uri="{FF2B5EF4-FFF2-40B4-BE49-F238E27FC236}">
              <a16:creationId xmlns:a16="http://schemas.microsoft.com/office/drawing/2014/main" id="{B284B155-AAF2-47D8-B06A-5EEC3882BA63}"/>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66" name="Text Box 8" hidden="1">
          <a:extLst>
            <a:ext uri="{FF2B5EF4-FFF2-40B4-BE49-F238E27FC236}">
              <a16:creationId xmlns:a16="http://schemas.microsoft.com/office/drawing/2014/main" id="{D52116DE-4DE9-489E-837A-CA36558D77E8}"/>
            </a:ext>
          </a:extLst>
        </xdr:cNvPr>
        <xdr:cNvSpPr txBox="1">
          <a:spLocks noChangeArrowheads="1"/>
        </xdr:cNvSpPr>
      </xdr:nvSpPr>
      <xdr:spPr bwMode="auto">
        <a:xfrm>
          <a:off x="15970250" y="7342778"/>
          <a:ext cx="1416050" cy="7537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67" name="Text Box 7" hidden="1">
          <a:extLst>
            <a:ext uri="{FF2B5EF4-FFF2-40B4-BE49-F238E27FC236}">
              <a16:creationId xmlns:a16="http://schemas.microsoft.com/office/drawing/2014/main" id="{B99CB62C-983C-42FA-BB96-D61C92434196}"/>
            </a:ext>
          </a:extLst>
        </xdr:cNvPr>
        <xdr:cNvSpPr txBox="1">
          <a:spLocks noChangeArrowheads="1"/>
        </xdr:cNvSpPr>
      </xdr:nvSpPr>
      <xdr:spPr bwMode="auto">
        <a:xfrm>
          <a:off x="16554450" y="7140078"/>
          <a:ext cx="1339850" cy="7638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68" name="Text Box 6" hidden="1">
          <a:extLst>
            <a:ext uri="{FF2B5EF4-FFF2-40B4-BE49-F238E27FC236}">
              <a16:creationId xmlns:a16="http://schemas.microsoft.com/office/drawing/2014/main" id="{6A83332C-D081-4FCA-93DB-8D401EEEC664}"/>
            </a:ext>
          </a:extLst>
        </xdr:cNvPr>
        <xdr:cNvSpPr txBox="1">
          <a:spLocks noChangeArrowheads="1"/>
        </xdr:cNvSpPr>
      </xdr:nvSpPr>
      <xdr:spPr bwMode="auto">
        <a:xfrm>
          <a:off x="16554450" y="3690097"/>
          <a:ext cx="1339850" cy="7829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69" name="Text Box 5" hidden="1">
          <a:extLst>
            <a:ext uri="{FF2B5EF4-FFF2-40B4-BE49-F238E27FC236}">
              <a16:creationId xmlns:a16="http://schemas.microsoft.com/office/drawing/2014/main" id="{8AD0B1AB-D362-4BAF-8A55-FFC66AB62848}"/>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70" name="Text Box 4" hidden="1">
          <a:extLst>
            <a:ext uri="{FF2B5EF4-FFF2-40B4-BE49-F238E27FC236}">
              <a16:creationId xmlns:a16="http://schemas.microsoft.com/office/drawing/2014/main" id="{B0513FD4-B71A-48BE-938D-ACFB0FACD555}"/>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71" name="Text Box 3" hidden="1">
          <a:extLst>
            <a:ext uri="{FF2B5EF4-FFF2-40B4-BE49-F238E27FC236}">
              <a16:creationId xmlns:a16="http://schemas.microsoft.com/office/drawing/2014/main" id="{34E6A08B-8532-45A2-979D-D4DE12D9EC64}"/>
            </a:ext>
          </a:extLst>
        </xdr:cNvPr>
        <xdr:cNvSpPr txBox="1">
          <a:spLocks noChangeArrowheads="1"/>
        </xdr:cNvSpPr>
      </xdr:nvSpPr>
      <xdr:spPr bwMode="auto">
        <a:xfrm>
          <a:off x="15970250" y="7342778"/>
          <a:ext cx="1416050" cy="7537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72" name="Text Box 2" hidden="1">
          <a:extLst>
            <a:ext uri="{FF2B5EF4-FFF2-40B4-BE49-F238E27FC236}">
              <a16:creationId xmlns:a16="http://schemas.microsoft.com/office/drawing/2014/main" id="{44563F5D-9251-43A5-9C58-BB64B45EFC91}"/>
            </a:ext>
          </a:extLst>
        </xdr:cNvPr>
        <xdr:cNvSpPr txBox="1">
          <a:spLocks noChangeArrowheads="1"/>
        </xdr:cNvSpPr>
      </xdr:nvSpPr>
      <xdr:spPr bwMode="auto">
        <a:xfrm>
          <a:off x="16554450" y="7140078"/>
          <a:ext cx="1339850" cy="7638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73" name="Text Box 1" hidden="1">
          <a:extLst>
            <a:ext uri="{FF2B5EF4-FFF2-40B4-BE49-F238E27FC236}">
              <a16:creationId xmlns:a16="http://schemas.microsoft.com/office/drawing/2014/main" id="{9339BFFA-B6F0-4B0D-AD09-A80091CD3DFE}"/>
            </a:ext>
          </a:extLst>
        </xdr:cNvPr>
        <xdr:cNvSpPr txBox="1">
          <a:spLocks noChangeArrowheads="1"/>
        </xdr:cNvSpPr>
      </xdr:nvSpPr>
      <xdr:spPr bwMode="auto">
        <a:xfrm>
          <a:off x="16554450" y="3690097"/>
          <a:ext cx="1339850" cy="7829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74" name="Text Box 15" hidden="1">
          <a:extLst>
            <a:ext uri="{FF2B5EF4-FFF2-40B4-BE49-F238E27FC236}">
              <a16:creationId xmlns:a16="http://schemas.microsoft.com/office/drawing/2014/main" id="{7F5F57EF-ABD9-4086-93DC-4642EF28308B}"/>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75" name="Text Box 14" hidden="1">
          <a:extLst>
            <a:ext uri="{FF2B5EF4-FFF2-40B4-BE49-F238E27FC236}">
              <a16:creationId xmlns:a16="http://schemas.microsoft.com/office/drawing/2014/main" id="{EAE958C5-65F5-4D9C-81E6-375BA6F5F125}"/>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76" name="Text Box 13" hidden="1">
          <a:extLst>
            <a:ext uri="{FF2B5EF4-FFF2-40B4-BE49-F238E27FC236}">
              <a16:creationId xmlns:a16="http://schemas.microsoft.com/office/drawing/2014/main" id="{85C63D11-4014-4914-97DF-D79B379E6B75}"/>
            </a:ext>
          </a:extLst>
        </xdr:cNvPr>
        <xdr:cNvSpPr txBox="1">
          <a:spLocks noChangeArrowheads="1"/>
        </xdr:cNvSpPr>
      </xdr:nvSpPr>
      <xdr:spPr bwMode="auto">
        <a:xfrm>
          <a:off x="15970250" y="7342778"/>
          <a:ext cx="1416050" cy="7537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77" name="Text Box 12" hidden="1">
          <a:extLst>
            <a:ext uri="{FF2B5EF4-FFF2-40B4-BE49-F238E27FC236}">
              <a16:creationId xmlns:a16="http://schemas.microsoft.com/office/drawing/2014/main" id="{3039D2CF-A781-4795-9FF6-21FF0048BCDF}"/>
            </a:ext>
          </a:extLst>
        </xdr:cNvPr>
        <xdr:cNvSpPr txBox="1">
          <a:spLocks noChangeArrowheads="1"/>
        </xdr:cNvSpPr>
      </xdr:nvSpPr>
      <xdr:spPr bwMode="auto">
        <a:xfrm>
          <a:off x="16554450" y="7140078"/>
          <a:ext cx="1339850" cy="7638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78" name="Text Box 11" hidden="1">
          <a:extLst>
            <a:ext uri="{FF2B5EF4-FFF2-40B4-BE49-F238E27FC236}">
              <a16:creationId xmlns:a16="http://schemas.microsoft.com/office/drawing/2014/main" id="{4B49D1D6-8AFA-4343-A8BE-BD613334B6A1}"/>
            </a:ext>
          </a:extLst>
        </xdr:cNvPr>
        <xdr:cNvSpPr txBox="1">
          <a:spLocks noChangeArrowheads="1"/>
        </xdr:cNvSpPr>
      </xdr:nvSpPr>
      <xdr:spPr bwMode="auto">
        <a:xfrm>
          <a:off x="16554450" y="3690097"/>
          <a:ext cx="1339850" cy="7829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88216</xdr:rowOff>
    </xdr:to>
    <xdr:sp macro="" textlink="">
      <xdr:nvSpPr>
        <xdr:cNvPr id="79" name="Text Box 18" hidden="1">
          <a:extLst>
            <a:ext uri="{FF2B5EF4-FFF2-40B4-BE49-F238E27FC236}">
              <a16:creationId xmlns:a16="http://schemas.microsoft.com/office/drawing/2014/main" id="{45AC77BB-1191-4E31-9822-E8CF2B28A12F}"/>
            </a:ext>
          </a:extLst>
        </xdr:cNvPr>
        <xdr:cNvSpPr txBox="1">
          <a:spLocks noChangeArrowheads="1"/>
        </xdr:cNvSpPr>
      </xdr:nvSpPr>
      <xdr:spPr bwMode="auto">
        <a:xfrm>
          <a:off x="72263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80" name="Text Box 24" hidden="1">
          <a:extLst>
            <a:ext uri="{FF2B5EF4-FFF2-40B4-BE49-F238E27FC236}">
              <a16:creationId xmlns:a16="http://schemas.microsoft.com/office/drawing/2014/main" id="{38E1A5C2-3775-431C-A2EE-41933E1EEB35}"/>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81" name="Text Box 23" hidden="1">
          <a:extLst>
            <a:ext uri="{FF2B5EF4-FFF2-40B4-BE49-F238E27FC236}">
              <a16:creationId xmlns:a16="http://schemas.microsoft.com/office/drawing/2014/main" id="{A3588E31-C30E-4D67-A943-27812C2D558A}"/>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82" name="Text Box 22" hidden="1">
          <a:extLst>
            <a:ext uri="{FF2B5EF4-FFF2-40B4-BE49-F238E27FC236}">
              <a16:creationId xmlns:a16="http://schemas.microsoft.com/office/drawing/2014/main" id="{9594EE0E-C4E3-4E27-9C5A-DC8D4460402F}"/>
            </a:ext>
          </a:extLst>
        </xdr:cNvPr>
        <xdr:cNvSpPr txBox="1">
          <a:spLocks noChangeArrowheads="1"/>
        </xdr:cNvSpPr>
      </xdr:nvSpPr>
      <xdr:spPr bwMode="auto">
        <a:xfrm>
          <a:off x="15970250" y="7342778"/>
          <a:ext cx="1416050" cy="7537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83" name="Text Box 21" hidden="1">
          <a:extLst>
            <a:ext uri="{FF2B5EF4-FFF2-40B4-BE49-F238E27FC236}">
              <a16:creationId xmlns:a16="http://schemas.microsoft.com/office/drawing/2014/main" id="{C8B0E19B-CCFB-4D70-A7DC-003492BF2D59}"/>
            </a:ext>
          </a:extLst>
        </xdr:cNvPr>
        <xdr:cNvSpPr txBox="1">
          <a:spLocks noChangeArrowheads="1"/>
        </xdr:cNvSpPr>
      </xdr:nvSpPr>
      <xdr:spPr bwMode="auto">
        <a:xfrm>
          <a:off x="16554450" y="7140078"/>
          <a:ext cx="1339850" cy="7638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84" name="Text Box 20" hidden="1">
          <a:extLst>
            <a:ext uri="{FF2B5EF4-FFF2-40B4-BE49-F238E27FC236}">
              <a16:creationId xmlns:a16="http://schemas.microsoft.com/office/drawing/2014/main" id="{B9A96D0A-94BB-43FE-9F04-08B431B68409}"/>
            </a:ext>
          </a:extLst>
        </xdr:cNvPr>
        <xdr:cNvSpPr txBox="1">
          <a:spLocks noChangeArrowheads="1"/>
        </xdr:cNvSpPr>
      </xdr:nvSpPr>
      <xdr:spPr bwMode="auto">
        <a:xfrm>
          <a:off x="16554450" y="3690097"/>
          <a:ext cx="1339850" cy="7829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88216</xdr:rowOff>
    </xdr:to>
    <xdr:sp macro="" textlink="">
      <xdr:nvSpPr>
        <xdr:cNvPr id="85" name="Text Box 19" hidden="1">
          <a:extLst>
            <a:ext uri="{FF2B5EF4-FFF2-40B4-BE49-F238E27FC236}">
              <a16:creationId xmlns:a16="http://schemas.microsoft.com/office/drawing/2014/main" id="{F8E81678-497B-4663-B666-B2718B792E78}"/>
            </a:ext>
          </a:extLst>
        </xdr:cNvPr>
        <xdr:cNvSpPr txBox="1">
          <a:spLocks noChangeArrowheads="1"/>
        </xdr:cNvSpPr>
      </xdr:nvSpPr>
      <xdr:spPr bwMode="auto">
        <a:xfrm>
          <a:off x="7226300" y="5847603"/>
          <a:ext cx="1308100" cy="768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88216</xdr:rowOff>
    </xdr:to>
    <xdr:sp macro="" textlink="">
      <xdr:nvSpPr>
        <xdr:cNvPr id="86" name="Text Box 25" hidden="1">
          <a:extLst>
            <a:ext uri="{FF2B5EF4-FFF2-40B4-BE49-F238E27FC236}">
              <a16:creationId xmlns:a16="http://schemas.microsoft.com/office/drawing/2014/main" id="{58E4CE37-D3D4-41DC-BAA4-91C140C98C7D}"/>
            </a:ext>
          </a:extLst>
        </xdr:cNvPr>
        <xdr:cNvSpPr txBox="1">
          <a:spLocks noChangeArrowheads="1"/>
        </xdr:cNvSpPr>
      </xdr:nvSpPr>
      <xdr:spPr bwMode="auto">
        <a:xfrm>
          <a:off x="67056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87" name="Text Box 32" hidden="1">
          <a:extLst>
            <a:ext uri="{FF2B5EF4-FFF2-40B4-BE49-F238E27FC236}">
              <a16:creationId xmlns:a16="http://schemas.microsoft.com/office/drawing/2014/main" id="{20256E27-96A6-4B2E-B72E-3C968022AE0F}"/>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88" name="Text Box 31" hidden="1">
          <a:extLst>
            <a:ext uri="{FF2B5EF4-FFF2-40B4-BE49-F238E27FC236}">
              <a16:creationId xmlns:a16="http://schemas.microsoft.com/office/drawing/2014/main" id="{BAD4F65A-A236-4435-92C1-FBF546D29FAE}"/>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89" name="Text Box 30" hidden="1">
          <a:extLst>
            <a:ext uri="{FF2B5EF4-FFF2-40B4-BE49-F238E27FC236}">
              <a16:creationId xmlns:a16="http://schemas.microsoft.com/office/drawing/2014/main" id="{19252520-B05E-4993-8CF7-A4158FC20B56}"/>
            </a:ext>
          </a:extLst>
        </xdr:cNvPr>
        <xdr:cNvSpPr txBox="1">
          <a:spLocks noChangeArrowheads="1"/>
        </xdr:cNvSpPr>
      </xdr:nvSpPr>
      <xdr:spPr bwMode="auto">
        <a:xfrm>
          <a:off x="15970250" y="7342778"/>
          <a:ext cx="1416050" cy="7537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90" name="Text Box 29" hidden="1">
          <a:extLst>
            <a:ext uri="{FF2B5EF4-FFF2-40B4-BE49-F238E27FC236}">
              <a16:creationId xmlns:a16="http://schemas.microsoft.com/office/drawing/2014/main" id="{49857D38-F92E-4466-B9A9-A41108EE23F0}"/>
            </a:ext>
          </a:extLst>
        </xdr:cNvPr>
        <xdr:cNvSpPr txBox="1">
          <a:spLocks noChangeArrowheads="1"/>
        </xdr:cNvSpPr>
      </xdr:nvSpPr>
      <xdr:spPr bwMode="auto">
        <a:xfrm>
          <a:off x="16554450" y="7140078"/>
          <a:ext cx="1339850" cy="7638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91" name="Text Box 28" hidden="1">
          <a:extLst>
            <a:ext uri="{FF2B5EF4-FFF2-40B4-BE49-F238E27FC236}">
              <a16:creationId xmlns:a16="http://schemas.microsoft.com/office/drawing/2014/main" id="{61B21094-821A-43FA-90B8-14ABABD30A99}"/>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88216</xdr:rowOff>
    </xdr:to>
    <xdr:sp macro="" textlink="">
      <xdr:nvSpPr>
        <xdr:cNvPr id="92" name="Text Box 27" hidden="1">
          <a:extLst>
            <a:ext uri="{FF2B5EF4-FFF2-40B4-BE49-F238E27FC236}">
              <a16:creationId xmlns:a16="http://schemas.microsoft.com/office/drawing/2014/main" id="{AE7610A6-4874-42B2-AD99-C5A1BAC3904F}"/>
            </a:ext>
          </a:extLst>
        </xdr:cNvPr>
        <xdr:cNvSpPr txBox="1">
          <a:spLocks noChangeArrowheads="1"/>
        </xdr:cNvSpPr>
      </xdr:nvSpPr>
      <xdr:spPr bwMode="auto">
        <a:xfrm>
          <a:off x="72263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88216</xdr:rowOff>
    </xdr:to>
    <xdr:sp macro="" textlink="">
      <xdr:nvSpPr>
        <xdr:cNvPr id="93" name="Text Box 26" hidden="1">
          <a:extLst>
            <a:ext uri="{FF2B5EF4-FFF2-40B4-BE49-F238E27FC236}">
              <a16:creationId xmlns:a16="http://schemas.microsoft.com/office/drawing/2014/main" id="{35EC8909-5558-4BEE-8579-23C21E2017A8}"/>
            </a:ext>
          </a:extLst>
        </xdr:cNvPr>
        <xdr:cNvSpPr txBox="1">
          <a:spLocks noChangeArrowheads="1"/>
        </xdr:cNvSpPr>
      </xdr:nvSpPr>
      <xdr:spPr bwMode="auto">
        <a:xfrm>
          <a:off x="67056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94" name="Text Box 39" hidden="1">
          <a:extLst>
            <a:ext uri="{FF2B5EF4-FFF2-40B4-BE49-F238E27FC236}">
              <a16:creationId xmlns:a16="http://schemas.microsoft.com/office/drawing/2014/main" id="{771C7D77-FCEC-4658-B4F2-F0CEDBD7CF10}"/>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95" name="Text Box 38" hidden="1">
          <a:extLst>
            <a:ext uri="{FF2B5EF4-FFF2-40B4-BE49-F238E27FC236}">
              <a16:creationId xmlns:a16="http://schemas.microsoft.com/office/drawing/2014/main" id="{A9BE6B8E-A561-49EA-8AF4-734AA9F61F33}"/>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96" name="Text Box 37" hidden="1">
          <a:extLst>
            <a:ext uri="{FF2B5EF4-FFF2-40B4-BE49-F238E27FC236}">
              <a16:creationId xmlns:a16="http://schemas.microsoft.com/office/drawing/2014/main" id="{6E43972B-EC41-472C-96C3-C28A8E76A60C}"/>
            </a:ext>
          </a:extLst>
        </xdr:cNvPr>
        <xdr:cNvSpPr txBox="1">
          <a:spLocks noChangeArrowheads="1"/>
        </xdr:cNvSpPr>
      </xdr:nvSpPr>
      <xdr:spPr bwMode="auto">
        <a:xfrm>
          <a:off x="15970250" y="7342778"/>
          <a:ext cx="1416050" cy="7537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97" name="Text Box 36" hidden="1">
          <a:extLst>
            <a:ext uri="{FF2B5EF4-FFF2-40B4-BE49-F238E27FC236}">
              <a16:creationId xmlns:a16="http://schemas.microsoft.com/office/drawing/2014/main" id="{BAA98E38-A0DF-4B7C-BFC8-BB7419F637AC}"/>
            </a:ext>
          </a:extLst>
        </xdr:cNvPr>
        <xdr:cNvSpPr txBox="1">
          <a:spLocks noChangeArrowheads="1"/>
        </xdr:cNvSpPr>
      </xdr:nvSpPr>
      <xdr:spPr bwMode="auto">
        <a:xfrm>
          <a:off x="16554450" y="7140078"/>
          <a:ext cx="1339850" cy="7638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98" name="Text Box 35" hidden="1">
          <a:extLst>
            <a:ext uri="{FF2B5EF4-FFF2-40B4-BE49-F238E27FC236}">
              <a16:creationId xmlns:a16="http://schemas.microsoft.com/office/drawing/2014/main" id="{F690F259-7F89-4DC0-8569-9AE61C847E47}"/>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88216</xdr:rowOff>
    </xdr:to>
    <xdr:sp macro="" textlink="">
      <xdr:nvSpPr>
        <xdr:cNvPr id="99" name="Text Box 34" hidden="1">
          <a:extLst>
            <a:ext uri="{FF2B5EF4-FFF2-40B4-BE49-F238E27FC236}">
              <a16:creationId xmlns:a16="http://schemas.microsoft.com/office/drawing/2014/main" id="{99B9EDAA-CA5E-4C31-A5D0-4C82BB966076}"/>
            </a:ext>
          </a:extLst>
        </xdr:cNvPr>
        <xdr:cNvSpPr txBox="1">
          <a:spLocks noChangeArrowheads="1"/>
        </xdr:cNvSpPr>
      </xdr:nvSpPr>
      <xdr:spPr bwMode="auto">
        <a:xfrm>
          <a:off x="72263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88216</xdr:rowOff>
    </xdr:to>
    <xdr:sp macro="" textlink="">
      <xdr:nvSpPr>
        <xdr:cNvPr id="100" name="Text Box 33" hidden="1">
          <a:extLst>
            <a:ext uri="{FF2B5EF4-FFF2-40B4-BE49-F238E27FC236}">
              <a16:creationId xmlns:a16="http://schemas.microsoft.com/office/drawing/2014/main" id="{4CF94DF9-CBBF-49DE-B875-B94547772916}"/>
            </a:ext>
          </a:extLst>
        </xdr:cNvPr>
        <xdr:cNvSpPr txBox="1">
          <a:spLocks noChangeArrowheads="1"/>
        </xdr:cNvSpPr>
      </xdr:nvSpPr>
      <xdr:spPr bwMode="auto">
        <a:xfrm>
          <a:off x="67056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01" name="Text Box 53" hidden="1">
          <a:extLst>
            <a:ext uri="{FF2B5EF4-FFF2-40B4-BE49-F238E27FC236}">
              <a16:creationId xmlns:a16="http://schemas.microsoft.com/office/drawing/2014/main" id="{C586D6C5-BFAD-498F-8371-39554E6C7061}"/>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02" name="Text Box 52" hidden="1">
          <a:extLst>
            <a:ext uri="{FF2B5EF4-FFF2-40B4-BE49-F238E27FC236}">
              <a16:creationId xmlns:a16="http://schemas.microsoft.com/office/drawing/2014/main" id="{055ABF49-90C9-4F03-BC86-ABD383B959E3}"/>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103" name="Text Box 51" hidden="1">
          <a:extLst>
            <a:ext uri="{FF2B5EF4-FFF2-40B4-BE49-F238E27FC236}">
              <a16:creationId xmlns:a16="http://schemas.microsoft.com/office/drawing/2014/main" id="{2BA5CD39-63B0-4BF8-9F4A-1E2707BA2A85}"/>
            </a:ext>
          </a:extLst>
        </xdr:cNvPr>
        <xdr:cNvSpPr txBox="1">
          <a:spLocks noChangeArrowheads="1"/>
        </xdr:cNvSpPr>
      </xdr:nvSpPr>
      <xdr:spPr bwMode="auto">
        <a:xfrm>
          <a:off x="15970250" y="7342778"/>
          <a:ext cx="1416050" cy="7537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104" name="Text Box 50" hidden="1">
          <a:extLst>
            <a:ext uri="{FF2B5EF4-FFF2-40B4-BE49-F238E27FC236}">
              <a16:creationId xmlns:a16="http://schemas.microsoft.com/office/drawing/2014/main" id="{13265243-9D9F-477D-810F-E7ACED693BCB}"/>
            </a:ext>
          </a:extLst>
        </xdr:cNvPr>
        <xdr:cNvSpPr txBox="1">
          <a:spLocks noChangeArrowheads="1"/>
        </xdr:cNvSpPr>
      </xdr:nvSpPr>
      <xdr:spPr bwMode="auto">
        <a:xfrm>
          <a:off x="16554450" y="7140078"/>
          <a:ext cx="1339850" cy="7638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05" name="Text Box 49" hidden="1">
          <a:extLst>
            <a:ext uri="{FF2B5EF4-FFF2-40B4-BE49-F238E27FC236}">
              <a16:creationId xmlns:a16="http://schemas.microsoft.com/office/drawing/2014/main" id="{10EEF801-C814-42FB-9590-8F865F571A5E}"/>
            </a:ext>
          </a:extLst>
        </xdr:cNvPr>
        <xdr:cNvSpPr txBox="1">
          <a:spLocks noChangeArrowheads="1"/>
        </xdr:cNvSpPr>
      </xdr:nvSpPr>
      <xdr:spPr bwMode="auto">
        <a:xfrm>
          <a:off x="16554450" y="3690097"/>
          <a:ext cx="1339850" cy="7829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88216</xdr:rowOff>
    </xdr:to>
    <xdr:sp macro="" textlink="">
      <xdr:nvSpPr>
        <xdr:cNvPr id="106" name="Text Box 48" hidden="1">
          <a:extLst>
            <a:ext uri="{FF2B5EF4-FFF2-40B4-BE49-F238E27FC236}">
              <a16:creationId xmlns:a16="http://schemas.microsoft.com/office/drawing/2014/main" id="{4CE9E1FD-05F2-4231-9EEF-C74A7F708CB7}"/>
            </a:ext>
          </a:extLst>
        </xdr:cNvPr>
        <xdr:cNvSpPr txBox="1">
          <a:spLocks noChangeArrowheads="1"/>
        </xdr:cNvSpPr>
      </xdr:nvSpPr>
      <xdr:spPr bwMode="auto">
        <a:xfrm>
          <a:off x="7226300" y="5847603"/>
          <a:ext cx="1308100" cy="768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88216</xdr:rowOff>
    </xdr:to>
    <xdr:sp macro="" textlink="">
      <xdr:nvSpPr>
        <xdr:cNvPr id="107" name="Text Box 47" hidden="1">
          <a:extLst>
            <a:ext uri="{FF2B5EF4-FFF2-40B4-BE49-F238E27FC236}">
              <a16:creationId xmlns:a16="http://schemas.microsoft.com/office/drawing/2014/main" id="{61B71D90-46C2-4C79-A7F0-2DED5DEE1591}"/>
            </a:ext>
          </a:extLst>
        </xdr:cNvPr>
        <xdr:cNvSpPr txBox="1">
          <a:spLocks noChangeArrowheads="1"/>
        </xdr:cNvSpPr>
      </xdr:nvSpPr>
      <xdr:spPr bwMode="auto">
        <a:xfrm>
          <a:off x="6705600" y="5847603"/>
          <a:ext cx="1308100" cy="768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08" name="Text Box 46" hidden="1">
          <a:extLst>
            <a:ext uri="{FF2B5EF4-FFF2-40B4-BE49-F238E27FC236}">
              <a16:creationId xmlns:a16="http://schemas.microsoft.com/office/drawing/2014/main" id="{07AF10F1-8058-4493-A88C-C0DA7567CD6A}"/>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09" name="Text Box 45" hidden="1">
          <a:extLst>
            <a:ext uri="{FF2B5EF4-FFF2-40B4-BE49-F238E27FC236}">
              <a16:creationId xmlns:a16="http://schemas.microsoft.com/office/drawing/2014/main" id="{D06DED33-42C1-4AF8-8D13-927323D0EF31}"/>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110" name="Text Box 44" hidden="1">
          <a:extLst>
            <a:ext uri="{FF2B5EF4-FFF2-40B4-BE49-F238E27FC236}">
              <a16:creationId xmlns:a16="http://schemas.microsoft.com/office/drawing/2014/main" id="{00B108B2-642E-4F3C-BCD3-39FF3E0008FE}"/>
            </a:ext>
          </a:extLst>
        </xdr:cNvPr>
        <xdr:cNvSpPr txBox="1">
          <a:spLocks noChangeArrowheads="1"/>
        </xdr:cNvSpPr>
      </xdr:nvSpPr>
      <xdr:spPr bwMode="auto">
        <a:xfrm>
          <a:off x="15970250" y="7342778"/>
          <a:ext cx="1416050" cy="7537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111" name="Text Box 43" hidden="1">
          <a:extLst>
            <a:ext uri="{FF2B5EF4-FFF2-40B4-BE49-F238E27FC236}">
              <a16:creationId xmlns:a16="http://schemas.microsoft.com/office/drawing/2014/main" id="{692E7F5A-D3F2-47E9-ACF0-2F717D215EFA}"/>
            </a:ext>
          </a:extLst>
        </xdr:cNvPr>
        <xdr:cNvSpPr txBox="1">
          <a:spLocks noChangeArrowheads="1"/>
        </xdr:cNvSpPr>
      </xdr:nvSpPr>
      <xdr:spPr bwMode="auto">
        <a:xfrm>
          <a:off x="16554450" y="7140078"/>
          <a:ext cx="1339850" cy="7638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12" name="Text Box 42" hidden="1">
          <a:extLst>
            <a:ext uri="{FF2B5EF4-FFF2-40B4-BE49-F238E27FC236}">
              <a16:creationId xmlns:a16="http://schemas.microsoft.com/office/drawing/2014/main" id="{32EB687B-5DB2-4372-99B2-28B9557ADA18}"/>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88216</xdr:rowOff>
    </xdr:to>
    <xdr:sp macro="" textlink="">
      <xdr:nvSpPr>
        <xdr:cNvPr id="113" name="Text Box 41" hidden="1">
          <a:extLst>
            <a:ext uri="{FF2B5EF4-FFF2-40B4-BE49-F238E27FC236}">
              <a16:creationId xmlns:a16="http://schemas.microsoft.com/office/drawing/2014/main" id="{AFC1473F-46B1-43C6-87ED-59E6E0A8F27E}"/>
            </a:ext>
          </a:extLst>
        </xdr:cNvPr>
        <xdr:cNvSpPr txBox="1">
          <a:spLocks noChangeArrowheads="1"/>
        </xdr:cNvSpPr>
      </xdr:nvSpPr>
      <xdr:spPr bwMode="auto">
        <a:xfrm>
          <a:off x="72263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88216</xdr:rowOff>
    </xdr:to>
    <xdr:sp macro="" textlink="">
      <xdr:nvSpPr>
        <xdr:cNvPr id="114" name="Text Box 40" hidden="1">
          <a:extLst>
            <a:ext uri="{FF2B5EF4-FFF2-40B4-BE49-F238E27FC236}">
              <a16:creationId xmlns:a16="http://schemas.microsoft.com/office/drawing/2014/main" id="{227D44B3-1544-4B36-AEA1-B48502319400}"/>
            </a:ext>
          </a:extLst>
        </xdr:cNvPr>
        <xdr:cNvSpPr txBox="1">
          <a:spLocks noChangeArrowheads="1"/>
        </xdr:cNvSpPr>
      </xdr:nvSpPr>
      <xdr:spPr bwMode="auto">
        <a:xfrm>
          <a:off x="6705600" y="5847603"/>
          <a:ext cx="1308100" cy="7684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15" name="Text Box 60" hidden="1">
          <a:extLst>
            <a:ext uri="{FF2B5EF4-FFF2-40B4-BE49-F238E27FC236}">
              <a16:creationId xmlns:a16="http://schemas.microsoft.com/office/drawing/2014/main" id="{1FFC56F8-BE07-4C6C-8905-269D7155024E}"/>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16" name="Text Box 59" hidden="1">
          <a:extLst>
            <a:ext uri="{FF2B5EF4-FFF2-40B4-BE49-F238E27FC236}">
              <a16:creationId xmlns:a16="http://schemas.microsoft.com/office/drawing/2014/main" id="{B97E515C-1DDC-4517-AAD1-3666C611188C}"/>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27</xdr:row>
      <xdr:rowOff>199028</xdr:rowOff>
    </xdr:from>
    <xdr:to>
      <xdr:col>24</xdr:col>
      <xdr:colOff>285750</xdr:colOff>
      <xdr:row>30</xdr:row>
      <xdr:rowOff>222499</xdr:rowOff>
    </xdr:to>
    <xdr:sp macro="" textlink="">
      <xdr:nvSpPr>
        <xdr:cNvPr id="117" name="Text Box 58" hidden="1">
          <a:extLst>
            <a:ext uri="{FF2B5EF4-FFF2-40B4-BE49-F238E27FC236}">
              <a16:creationId xmlns:a16="http://schemas.microsoft.com/office/drawing/2014/main" id="{D6A62BB7-7B58-43B4-B807-71C6B0676737}"/>
            </a:ext>
          </a:extLst>
        </xdr:cNvPr>
        <xdr:cNvSpPr txBox="1">
          <a:spLocks noChangeArrowheads="1"/>
        </xdr:cNvSpPr>
      </xdr:nvSpPr>
      <xdr:spPr bwMode="auto">
        <a:xfrm>
          <a:off x="15970250" y="7342778"/>
          <a:ext cx="1416050" cy="7537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26</xdr:row>
      <xdr:rowOff>243978</xdr:rowOff>
    </xdr:from>
    <xdr:to>
      <xdr:col>25</xdr:col>
      <xdr:colOff>152400</xdr:colOff>
      <xdr:row>30</xdr:row>
      <xdr:rowOff>29883</xdr:rowOff>
    </xdr:to>
    <xdr:sp macro="" textlink="">
      <xdr:nvSpPr>
        <xdr:cNvPr id="118" name="Text Box 57" hidden="1">
          <a:extLst>
            <a:ext uri="{FF2B5EF4-FFF2-40B4-BE49-F238E27FC236}">
              <a16:creationId xmlns:a16="http://schemas.microsoft.com/office/drawing/2014/main" id="{A7C07494-E7A4-4A11-82C8-D37090C65A59}"/>
            </a:ext>
          </a:extLst>
        </xdr:cNvPr>
        <xdr:cNvSpPr txBox="1">
          <a:spLocks noChangeArrowheads="1"/>
        </xdr:cNvSpPr>
      </xdr:nvSpPr>
      <xdr:spPr bwMode="auto">
        <a:xfrm>
          <a:off x="16554450" y="7140078"/>
          <a:ext cx="1339850" cy="7638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19" name="Text Box 56" hidden="1">
          <a:extLst>
            <a:ext uri="{FF2B5EF4-FFF2-40B4-BE49-F238E27FC236}">
              <a16:creationId xmlns:a16="http://schemas.microsoft.com/office/drawing/2014/main" id="{BDF06625-AD8E-4266-992E-5A5A78AC0B3B}"/>
            </a:ext>
          </a:extLst>
        </xdr:cNvPr>
        <xdr:cNvSpPr txBox="1">
          <a:spLocks noChangeArrowheads="1"/>
        </xdr:cNvSpPr>
      </xdr:nvSpPr>
      <xdr:spPr bwMode="auto">
        <a:xfrm>
          <a:off x="16554450" y="3690097"/>
          <a:ext cx="1339850" cy="7829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88216</xdr:rowOff>
    </xdr:to>
    <xdr:sp macro="" textlink="">
      <xdr:nvSpPr>
        <xdr:cNvPr id="120" name="Text Box 55" hidden="1">
          <a:extLst>
            <a:ext uri="{FF2B5EF4-FFF2-40B4-BE49-F238E27FC236}">
              <a16:creationId xmlns:a16="http://schemas.microsoft.com/office/drawing/2014/main" id="{B47A9165-4EA4-41CE-9BA6-0C17BE330481}"/>
            </a:ext>
          </a:extLst>
        </xdr:cNvPr>
        <xdr:cNvSpPr txBox="1">
          <a:spLocks noChangeArrowheads="1"/>
        </xdr:cNvSpPr>
      </xdr:nvSpPr>
      <xdr:spPr bwMode="auto">
        <a:xfrm>
          <a:off x="7226300" y="5847603"/>
          <a:ext cx="1308100" cy="768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88216</xdr:rowOff>
    </xdr:to>
    <xdr:sp macro="" textlink="">
      <xdr:nvSpPr>
        <xdr:cNvPr id="121" name="Text Box 54" hidden="1">
          <a:extLst>
            <a:ext uri="{FF2B5EF4-FFF2-40B4-BE49-F238E27FC236}">
              <a16:creationId xmlns:a16="http://schemas.microsoft.com/office/drawing/2014/main" id="{71496426-C694-48AC-AB7D-CCE5949EB803}"/>
            </a:ext>
          </a:extLst>
        </xdr:cNvPr>
        <xdr:cNvSpPr txBox="1">
          <a:spLocks noChangeArrowheads="1"/>
        </xdr:cNvSpPr>
      </xdr:nvSpPr>
      <xdr:spPr bwMode="auto">
        <a:xfrm>
          <a:off x="6705600" y="5847603"/>
          <a:ext cx="1308100" cy="768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22" name="Text Box 67" hidden="1">
          <a:extLst>
            <a:ext uri="{FF2B5EF4-FFF2-40B4-BE49-F238E27FC236}">
              <a16:creationId xmlns:a16="http://schemas.microsoft.com/office/drawing/2014/main" id="{1C60E408-906B-4BD7-8195-155B609F52CC}"/>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23" name="Text Box 66" hidden="1">
          <a:extLst>
            <a:ext uri="{FF2B5EF4-FFF2-40B4-BE49-F238E27FC236}">
              <a16:creationId xmlns:a16="http://schemas.microsoft.com/office/drawing/2014/main" id="{1F24E5D8-352C-41C0-8B62-187E52B718FC}"/>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34</xdr:row>
      <xdr:rowOff>217270</xdr:rowOff>
    </xdr:from>
    <xdr:to>
      <xdr:col>24</xdr:col>
      <xdr:colOff>285750</xdr:colOff>
      <xdr:row>39</xdr:row>
      <xdr:rowOff>41088</xdr:rowOff>
    </xdr:to>
    <xdr:sp macro="" textlink="">
      <xdr:nvSpPr>
        <xdr:cNvPr id="124" name="Text Box 65" hidden="1">
          <a:extLst>
            <a:ext uri="{FF2B5EF4-FFF2-40B4-BE49-F238E27FC236}">
              <a16:creationId xmlns:a16="http://schemas.microsoft.com/office/drawing/2014/main" id="{6098B934-B9F1-426E-B9F4-B4236E27BCA8}"/>
            </a:ext>
          </a:extLst>
        </xdr:cNvPr>
        <xdr:cNvSpPr txBox="1">
          <a:spLocks noChangeArrowheads="1"/>
        </xdr:cNvSpPr>
      </xdr:nvSpPr>
      <xdr:spPr bwMode="auto">
        <a:xfrm>
          <a:off x="15970250" y="9056470"/>
          <a:ext cx="1416050" cy="973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105087</xdr:rowOff>
    </xdr:from>
    <xdr:to>
      <xdr:col>25</xdr:col>
      <xdr:colOff>152400</xdr:colOff>
      <xdr:row>39</xdr:row>
      <xdr:rowOff>100230</xdr:rowOff>
    </xdr:to>
    <xdr:sp macro="" textlink="">
      <xdr:nvSpPr>
        <xdr:cNvPr id="125" name="Text Box 64" hidden="1">
          <a:extLst>
            <a:ext uri="{FF2B5EF4-FFF2-40B4-BE49-F238E27FC236}">
              <a16:creationId xmlns:a16="http://schemas.microsoft.com/office/drawing/2014/main" id="{98485133-4170-4F15-B6FF-61D2BB02825E}"/>
            </a:ext>
          </a:extLst>
        </xdr:cNvPr>
        <xdr:cNvSpPr txBox="1">
          <a:spLocks noChangeArrowheads="1"/>
        </xdr:cNvSpPr>
      </xdr:nvSpPr>
      <xdr:spPr bwMode="auto">
        <a:xfrm>
          <a:off x="16554450" y="8702987"/>
          <a:ext cx="1339850" cy="13857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26" name="Text Box 63" hidden="1">
          <a:extLst>
            <a:ext uri="{FF2B5EF4-FFF2-40B4-BE49-F238E27FC236}">
              <a16:creationId xmlns:a16="http://schemas.microsoft.com/office/drawing/2014/main" id="{65D3D2AF-F1A3-4915-AEBE-24901A23D7FF}"/>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76574</xdr:rowOff>
    </xdr:to>
    <xdr:sp macro="" textlink="">
      <xdr:nvSpPr>
        <xdr:cNvPr id="127" name="Text Box 62" hidden="1">
          <a:extLst>
            <a:ext uri="{FF2B5EF4-FFF2-40B4-BE49-F238E27FC236}">
              <a16:creationId xmlns:a16="http://schemas.microsoft.com/office/drawing/2014/main" id="{D84AA42A-0FC2-4195-AFD7-BAAEB53245B3}"/>
            </a:ext>
          </a:extLst>
        </xdr:cNvPr>
        <xdr:cNvSpPr txBox="1">
          <a:spLocks noChangeArrowheads="1"/>
        </xdr:cNvSpPr>
      </xdr:nvSpPr>
      <xdr:spPr bwMode="auto">
        <a:xfrm>
          <a:off x="72263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76574</xdr:rowOff>
    </xdr:to>
    <xdr:sp macro="" textlink="">
      <xdr:nvSpPr>
        <xdr:cNvPr id="128" name="Text Box 61" hidden="1">
          <a:extLst>
            <a:ext uri="{FF2B5EF4-FFF2-40B4-BE49-F238E27FC236}">
              <a16:creationId xmlns:a16="http://schemas.microsoft.com/office/drawing/2014/main" id="{A4C1A215-B7B6-4771-9F19-1B595A4B755D}"/>
            </a:ext>
          </a:extLst>
        </xdr:cNvPr>
        <xdr:cNvSpPr txBox="1">
          <a:spLocks noChangeArrowheads="1"/>
        </xdr:cNvSpPr>
      </xdr:nvSpPr>
      <xdr:spPr bwMode="auto">
        <a:xfrm>
          <a:off x="67056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159871</xdr:rowOff>
    </xdr:from>
    <xdr:to>
      <xdr:col>3</xdr:col>
      <xdr:colOff>647700</xdr:colOff>
      <xdr:row>29</xdr:row>
      <xdr:rowOff>200212</xdr:rowOff>
    </xdr:to>
    <xdr:sp macro="" textlink="">
      <xdr:nvSpPr>
        <xdr:cNvPr id="129" name="Text Box 68" hidden="1">
          <a:extLst>
            <a:ext uri="{FF2B5EF4-FFF2-40B4-BE49-F238E27FC236}">
              <a16:creationId xmlns:a16="http://schemas.microsoft.com/office/drawing/2014/main" id="{493CF698-39E3-4180-B8CB-3BA4E729B5B7}"/>
            </a:ext>
          </a:extLst>
        </xdr:cNvPr>
        <xdr:cNvSpPr txBox="1">
          <a:spLocks noChangeArrowheads="1"/>
        </xdr:cNvSpPr>
      </xdr:nvSpPr>
      <xdr:spPr bwMode="auto">
        <a:xfrm>
          <a:off x="3079750" y="7055971"/>
          <a:ext cx="1314450" cy="7769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31</xdr:row>
      <xdr:rowOff>179170</xdr:rowOff>
    </xdr:from>
    <xdr:to>
      <xdr:col>9</xdr:col>
      <xdr:colOff>361950</xdr:colOff>
      <xdr:row>34</xdr:row>
      <xdr:rowOff>236320</xdr:rowOff>
    </xdr:to>
    <xdr:sp macro="" textlink="">
      <xdr:nvSpPr>
        <xdr:cNvPr id="130" name="Text Box 69" hidden="1">
          <a:extLst>
            <a:ext uri="{FF2B5EF4-FFF2-40B4-BE49-F238E27FC236}">
              <a16:creationId xmlns:a16="http://schemas.microsoft.com/office/drawing/2014/main" id="{C07868DE-FEE4-41BC-B311-D1475FF38AD7}"/>
            </a:ext>
          </a:extLst>
        </xdr:cNvPr>
        <xdr:cNvSpPr txBox="1">
          <a:spLocks noChangeArrowheads="1"/>
        </xdr:cNvSpPr>
      </xdr:nvSpPr>
      <xdr:spPr bwMode="auto">
        <a:xfrm>
          <a:off x="6705600" y="829447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31</xdr:row>
      <xdr:rowOff>179170</xdr:rowOff>
    </xdr:from>
    <xdr:to>
      <xdr:col>10</xdr:col>
      <xdr:colOff>361950</xdr:colOff>
      <xdr:row>34</xdr:row>
      <xdr:rowOff>236320</xdr:rowOff>
    </xdr:to>
    <xdr:sp macro="" textlink="">
      <xdr:nvSpPr>
        <xdr:cNvPr id="131" name="Text Box 70" hidden="1">
          <a:extLst>
            <a:ext uri="{FF2B5EF4-FFF2-40B4-BE49-F238E27FC236}">
              <a16:creationId xmlns:a16="http://schemas.microsoft.com/office/drawing/2014/main" id="{8ADB4EA5-751E-47BF-8B75-24F385870FAA}"/>
            </a:ext>
          </a:extLst>
        </xdr:cNvPr>
        <xdr:cNvSpPr txBox="1">
          <a:spLocks noChangeArrowheads="1"/>
        </xdr:cNvSpPr>
      </xdr:nvSpPr>
      <xdr:spPr bwMode="auto">
        <a:xfrm>
          <a:off x="7226300" y="829447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32" name="Text Box 80" hidden="1">
          <a:extLst>
            <a:ext uri="{FF2B5EF4-FFF2-40B4-BE49-F238E27FC236}">
              <a16:creationId xmlns:a16="http://schemas.microsoft.com/office/drawing/2014/main" id="{21A23EBB-552B-42B0-95DF-6B8ED9BE2B54}"/>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33" name="Text Box 79" hidden="1">
          <a:extLst>
            <a:ext uri="{FF2B5EF4-FFF2-40B4-BE49-F238E27FC236}">
              <a16:creationId xmlns:a16="http://schemas.microsoft.com/office/drawing/2014/main" id="{4441206C-CC79-469C-B5C5-5FA816A481D2}"/>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34" name="Text Box 78" hidden="1">
          <a:extLst>
            <a:ext uri="{FF2B5EF4-FFF2-40B4-BE49-F238E27FC236}">
              <a16:creationId xmlns:a16="http://schemas.microsoft.com/office/drawing/2014/main" id="{69FB761E-0914-4BF3-AD7E-08DCB9582E69}"/>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35" name="Text Box 77" hidden="1">
          <a:extLst>
            <a:ext uri="{FF2B5EF4-FFF2-40B4-BE49-F238E27FC236}">
              <a16:creationId xmlns:a16="http://schemas.microsoft.com/office/drawing/2014/main" id="{F0A2AAF5-52E7-4652-816F-1A2DB0546141}"/>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36" name="Text Box 76" hidden="1">
          <a:extLst>
            <a:ext uri="{FF2B5EF4-FFF2-40B4-BE49-F238E27FC236}">
              <a16:creationId xmlns:a16="http://schemas.microsoft.com/office/drawing/2014/main" id="{6D0A9CE4-269E-4B71-BF85-036A0EC68F17}"/>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76574</xdr:rowOff>
    </xdr:to>
    <xdr:sp macro="" textlink="">
      <xdr:nvSpPr>
        <xdr:cNvPr id="137" name="Text Box 75" hidden="1">
          <a:extLst>
            <a:ext uri="{FF2B5EF4-FFF2-40B4-BE49-F238E27FC236}">
              <a16:creationId xmlns:a16="http://schemas.microsoft.com/office/drawing/2014/main" id="{F3AE8C55-E887-4021-AB27-70C6E606D025}"/>
            </a:ext>
          </a:extLst>
        </xdr:cNvPr>
        <xdr:cNvSpPr txBox="1">
          <a:spLocks noChangeArrowheads="1"/>
        </xdr:cNvSpPr>
      </xdr:nvSpPr>
      <xdr:spPr bwMode="auto">
        <a:xfrm>
          <a:off x="72263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76574</xdr:rowOff>
    </xdr:to>
    <xdr:sp macro="" textlink="">
      <xdr:nvSpPr>
        <xdr:cNvPr id="138" name="Text Box 74" hidden="1">
          <a:extLst>
            <a:ext uri="{FF2B5EF4-FFF2-40B4-BE49-F238E27FC236}">
              <a16:creationId xmlns:a16="http://schemas.microsoft.com/office/drawing/2014/main" id="{54398972-A7EF-414C-B139-0BAEB4C5A2E1}"/>
            </a:ext>
          </a:extLst>
        </xdr:cNvPr>
        <xdr:cNvSpPr txBox="1">
          <a:spLocks noChangeArrowheads="1"/>
        </xdr:cNvSpPr>
      </xdr:nvSpPr>
      <xdr:spPr bwMode="auto">
        <a:xfrm>
          <a:off x="67056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39" name="Text Box 87" hidden="1">
          <a:extLst>
            <a:ext uri="{FF2B5EF4-FFF2-40B4-BE49-F238E27FC236}">
              <a16:creationId xmlns:a16="http://schemas.microsoft.com/office/drawing/2014/main" id="{2E0592AE-8786-460E-9A8A-1E46088450F1}"/>
            </a:ext>
          </a:extLst>
        </xdr:cNvPr>
        <xdr:cNvSpPr txBox="1">
          <a:spLocks noChangeArrowheads="1"/>
        </xdr:cNvSpPr>
      </xdr:nvSpPr>
      <xdr:spPr bwMode="auto">
        <a:xfrm>
          <a:off x="3136900" y="4625415"/>
          <a:ext cx="1371600" cy="1392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40" name="Text Box 86" hidden="1">
          <a:extLst>
            <a:ext uri="{FF2B5EF4-FFF2-40B4-BE49-F238E27FC236}">
              <a16:creationId xmlns:a16="http://schemas.microsoft.com/office/drawing/2014/main" id="{CFAD7E0B-DBEC-4002-94EF-8E6ED1E7D5B7}"/>
            </a:ext>
          </a:extLst>
        </xdr:cNvPr>
        <xdr:cNvSpPr txBox="1">
          <a:spLocks noChangeArrowheads="1"/>
        </xdr:cNvSpPr>
      </xdr:nvSpPr>
      <xdr:spPr bwMode="auto">
        <a:xfrm>
          <a:off x="15894050" y="3690097"/>
          <a:ext cx="1358900" cy="7638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41" name="Text Box 85" hidden="1">
          <a:extLst>
            <a:ext uri="{FF2B5EF4-FFF2-40B4-BE49-F238E27FC236}">
              <a16:creationId xmlns:a16="http://schemas.microsoft.com/office/drawing/2014/main" id="{66B7DE21-0457-492A-9A25-4DEC28F4A21A}"/>
            </a:ext>
          </a:extLst>
        </xdr:cNvPr>
        <xdr:cNvSpPr txBox="1">
          <a:spLocks noChangeArrowheads="1"/>
        </xdr:cNvSpPr>
      </xdr:nvSpPr>
      <xdr:spPr bwMode="auto">
        <a:xfrm>
          <a:off x="15970250" y="7639797"/>
          <a:ext cx="1416050" cy="9954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42" name="Text Box 84" hidden="1">
          <a:extLst>
            <a:ext uri="{FF2B5EF4-FFF2-40B4-BE49-F238E27FC236}">
              <a16:creationId xmlns:a16="http://schemas.microsoft.com/office/drawing/2014/main" id="{CE76617E-8B30-42B4-9A87-D44B177F6F2C}"/>
            </a:ext>
          </a:extLst>
        </xdr:cNvPr>
        <xdr:cNvSpPr txBox="1">
          <a:spLocks noChangeArrowheads="1"/>
        </xdr:cNvSpPr>
      </xdr:nvSpPr>
      <xdr:spPr bwMode="auto">
        <a:xfrm>
          <a:off x="16554450" y="7335370"/>
          <a:ext cx="1339850" cy="14141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43" name="Text Box 83" hidden="1">
          <a:extLst>
            <a:ext uri="{FF2B5EF4-FFF2-40B4-BE49-F238E27FC236}">
              <a16:creationId xmlns:a16="http://schemas.microsoft.com/office/drawing/2014/main" id="{ACD9EE94-CFA3-4D89-95AE-58297F7AE171}"/>
            </a:ext>
          </a:extLst>
        </xdr:cNvPr>
        <xdr:cNvSpPr txBox="1">
          <a:spLocks noChangeArrowheads="1"/>
        </xdr:cNvSpPr>
      </xdr:nvSpPr>
      <xdr:spPr bwMode="auto">
        <a:xfrm>
          <a:off x="16554450" y="3690097"/>
          <a:ext cx="1339850" cy="7829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76574</xdr:rowOff>
    </xdr:to>
    <xdr:sp macro="" textlink="">
      <xdr:nvSpPr>
        <xdr:cNvPr id="144" name="Text Box 82" hidden="1">
          <a:extLst>
            <a:ext uri="{FF2B5EF4-FFF2-40B4-BE49-F238E27FC236}">
              <a16:creationId xmlns:a16="http://schemas.microsoft.com/office/drawing/2014/main" id="{5E8C66CE-A3C2-4E9F-B7F6-5A57115E9971}"/>
            </a:ext>
          </a:extLst>
        </xdr:cNvPr>
        <xdr:cNvSpPr txBox="1">
          <a:spLocks noChangeArrowheads="1"/>
        </xdr:cNvSpPr>
      </xdr:nvSpPr>
      <xdr:spPr bwMode="auto">
        <a:xfrm>
          <a:off x="7226300" y="5847603"/>
          <a:ext cx="1308100" cy="756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76574</xdr:rowOff>
    </xdr:to>
    <xdr:sp macro="" textlink="">
      <xdr:nvSpPr>
        <xdr:cNvPr id="145" name="Text Box 81" hidden="1">
          <a:extLst>
            <a:ext uri="{FF2B5EF4-FFF2-40B4-BE49-F238E27FC236}">
              <a16:creationId xmlns:a16="http://schemas.microsoft.com/office/drawing/2014/main" id="{9833E6BD-EE97-4A3B-8393-F5C6AC6F1CCD}"/>
            </a:ext>
          </a:extLst>
        </xdr:cNvPr>
        <xdr:cNvSpPr txBox="1">
          <a:spLocks noChangeArrowheads="1"/>
        </xdr:cNvSpPr>
      </xdr:nvSpPr>
      <xdr:spPr bwMode="auto">
        <a:xfrm>
          <a:off x="6705600" y="5847603"/>
          <a:ext cx="1308100" cy="756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46" name="Text Box 7" hidden="1">
          <a:extLst>
            <a:ext uri="{FF2B5EF4-FFF2-40B4-BE49-F238E27FC236}">
              <a16:creationId xmlns:a16="http://schemas.microsoft.com/office/drawing/2014/main" id="{AA51DD3A-751F-40DC-8B47-659F210E5993}"/>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47" name="Text Box 6" hidden="1">
          <a:extLst>
            <a:ext uri="{FF2B5EF4-FFF2-40B4-BE49-F238E27FC236}">
              <a16:creationId xmlns:a16="http://schemas.microsoft.com/office/drawing/2014/main" id="{802DDFAB-FD7A-4666-9742-23CB9FDEDAC7}"/>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48" name="Text Box 5" hidden="1">
          <a:extLst>
            <a:ext uri="{FF2B5EF4-FFF2-40B4-BE49-F238E27FC236}">
              <a16:creationId xmlns:a16="http://schemas.microsoft.com/office/drawing/2014/main" id="{41269718-6B6E-46DA-A31C-874A6DCBDDAC}"/>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49" name="Text Box 4" hidden="1">
          <a:extLst>
            <a:ext uri="{FF2B5EF4-FFF2-40B4-BE49-F238E27FC236}">
              <a16:creationId xmlns:a16="http://schemas.microsoft.com/office/drawing/2014/main" id="{5B38ED1F-9717-496C-A33C-423DC051D980}"/>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50" name="Text Box 3" hidden="1">
          <a:extLst>
            <a:ext uri="{FF2B5EF4-FFF2-40B4-BE49-F238E27FC236}">
              <a16:creationId xmlns:a16="http://schemas.microsoft.com/office/drawing/2014/main" id="{AA491E02-D558-4DDC-B5F8-8FEE49CA6AAC}"/>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76574</xdr:rowOff>
    </xdr:to>
    <xdr:sp macro="" textlink="">
      <xdr:nvSpPr>
        <xdr:cNvPr id="151" name="Text Box 2" hidden="1">
          <a:extLst>
            <a:ext uri="{FF2B5EF4-FFF2-40B4-BE49-F238E27FC236}">
              <a16:creationId xmlns:a16="http://schemas.microsoft.com/office/drawing/2014/main" id="{E467A3C4-4EB4-45CB-BB29-DB014E4C6F08}"/>
            </a:ext>
          </a:extLst>
        </xdr:cNvPr>
        <xdr:cNvSpPr txBox="1">
          <a:spLocks noChangeArrowheads="1"/>
        </xdr:cNvSpPr>
      </xdr:nvSpPr>
      <xdr:spPr bwMode="auto">
        <a:xfrm>
          <a:off x="72263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76574</xdr:rowOff>
    </xdr:to>
    <xdr:sp macro="" textlink="">
      <xdr:nvSpPr>
        <xdr:cNvPr id="152" name="Text Box 1" hidden="1">
          <a:extLst>
            <a:ext uri="{FF2B5EF4-FFF2-40B4-BE49-F238E27FC236}">
              <a16:creationId xmlns:a16="http://schemas.microsoft.com/office/drawing/2014/main" id="{1CEEF123-CC5A-4851-9FCB-09C93E82278B}"/>
            </a:ext>
          </a:extLst>
        </xdr:cNvPr>
        <xdr:cNvSpPr txBox="1">
          <a:spLocks noChangeArrowheads="1"/>
        </xdr:cNvSpPr>
      </xdr:nvSpPr>
      <xdr:spPr bwMode="auto">
        <a:xfrm>
          <a:off x="67056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53" name="Text Box 14" hidden="1">
          <a:extLst>
            <a:ext uri="{FF2B5EF4-FFF2-40B4-BE49-F238E27FC236}">
              <a16:creationId xmlns:a16="http://schemas.microsoft.com/office/drawing/2014/main" id="{CC11F95A-00AD-470E-8238-C2DBBC896B8C}"/>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54" name="Text Box 13" hidden="1">
          <a:extLst>
            <a:ext uri="{FF2B5EF4-FFF2-40B4-BE49-F238E27FC236}">
              <a16:creationId xmlns:a16="http://schemas.microsoft.com/office/drawing/2014/main" id="{61F47E96-82C2-4A79-A5F3-7653122B98A2}"/>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55" name="Text Box 12" hidden="1">
          <a:extLst>
            <a:ext uri="{FF2B5EF4-FFF2-40B4-BE49-F238E27FC236}">
              <a16:creationId xmlns:a16="http://schemas.microsoft.com/office/drawing/2014/main" id="{5AD6B0B5-039F-4E96-AE7B-965A61E33B1C}"/>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56" name="Text Box 11" hidden="1">
          <a:extLst>
            <a:ext uri="{FF2B5EF4-FFF2-40B4-BE49-F238E27FC236}">
              <a16:creationId xmlns:a16="http://schemas.microsoft.com/office/drawing/2014/main" id="{D7EA3F25-1118-403A-AFE1-F963BBE0676E}"/>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57" name="Text Box 10" hidden="1">
          <a:extLst>
            <a:ext uri="{FF2B5EF4-FFF2-40B4-BE49-F238E27FC236}">
              <a16:creationId xmlns:a16="http://schemas.microsoft.com/office/drawing/2014/main" id="{A900ADC7-1EC4-4FBE-9B15-FD26B1B95374}"/>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76574</xdr:rowOff>
    </xdr:to>
    <xdr:sp macro="" textlink="">
      <xdr:nvSpPr>
        <xdr:cNvPr id="158" name="Text Box 9" hidden="1">
          <a:extLst>
            <a:ext uri="{FF2B5EF4-FFF2-40B4-BE49-F238E27FC236}">
              <a16:creationId xmlns:a16="http://schemas.microsoft.com/office/drawing/2014/main" id="{111C442B-CCB7-4FD5-A8F7-3EDB22A3661D}"/>
            </a:ext>
          </a:extLst>
        </xdr:cNvPr>
        <xdr:cNvSpPr txBox="1">
          <a:spLocks noChangeArrowheads="1"/>
        </xdr:cNvSpPr>
      </xdr:nvSpPr>
      <xdr:spPr bwMode="auto">
        <a:xfrm>
          <a:off x="72263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20</xdr:row>
      <xdr:rowOff>278653</xdr:rowOff>
    </xdr:from>
    <xdr:to>
      <xdr:col>9</xdr:col>
      <xdr:colOff>361950</xdr:colOff>
      <xdr:row>24</xdr:row>
      <xdr:rowOff>76574</xdr:rowOff>
    </xdr:to>
    <xdr:sp macro="" textlink="">
      <xdr:nvSpPr>
        <xdr:cNvPr id="159" name="Text Box 8" hidden="1">
          <a:extLst>
            <a:ext uri="{FF2B5EF4-FFF2-40B4-BE49-F238E27FC236}">
              <a16:creationId xmlns:a16="http://schemas.microsoft.com/office/drawing/2014/main" id="{2DFDE688-373F-461C-986C-E5194BE24603}"/>
            </a:ext>
          </a:extLst>
        </xdr:cNvPr>
        <xdr:cNvSpPr txBox="1">
          <a:spLocks noChangeArrowheads="1"/>
        </xdr:cNvSpPr>
      </xdr:nvSpPr>
      <xdr:spPr bwMode="auto">
        <a:xfrm>
          <a:off x="6705600" y="5847603"/>
          <a:ext cx="1308100" cy="756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60" name="Text Box 21" hidden="1">
          <a:extLst>
            <a:ext uri="{FF2B5EF4-FFF2-40B4-BE49-F238E27FC236}">
              <a16:creationId xmlns:a16="http://schemas.microsoft.com/office/drawing/2014/main" id="{3F49BABE-BB02-44F0-B8F9-07E110E911C6}"/>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61" name="Text Box 20" hidden="1">
          <a:extLst>
            <a:ext uri="{FF2B5EF4-FFF2-40B4-BE49-F238E27FC236}">
              <a16:creationId xmlns:a16="http://schemas.microsoft.com/office/drawing/2014/main" id="{439B9306-D86B-460A-905B-66614114FFFE}"/>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62" name="Text Box 19" hidden="1">
          <a:extLst>
            <a:ext uri="{FF2B5EF4-FFF2-40B4-BE49-F238E27FC236}">
              <a16:creationId xmlns:a16="http://schemas.microsoft.com/office/drawing/2014/main" id="{FA3F7671-5EA5-4F82-9106-C9F9C0D831DE}"/>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63" name="Text Box 18" hidden="1">
          <a:extLst>
            <a:ext uri="{FF2B5EF4-FFF2-40B4-BE49-F238E27FC236}">
              <a16:creationId xmlns:a16="http://schemas.microsoft.com/office/drawing/2014/main" id="{44C1A662-1C12-4CE7-BD22-882104AECC03}"/>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64" name="Text Box 17" hidden="1">
          <a:extLst>
            <a:ext uri="{FF2B5EF4-FFF2-40B4-BE49-F238E27FC236}">
              <a16:creationId xmlns:a16="http://schemas.microsoft.com/office/drawing/2014/main" id="{36D66012-9390-4710-8E70-39C532E7324C}"/>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95624</xdr:rowOff>
    </xdr:to>
    <xdr:sp macro="" textlink="">
      <xdr:nvSpPr>
        <xdr:cNvPr id="165" name="Text Box 24" hidden="1">
          <a:extLst>
            <a:ext uri="{FF2B5EF4-FFF2-40B4-BE49-F238E27FC236}">
              <a16:creationId xmlns:a16="http://schemas.microsoft.com/office/drawing/2014/main" id="{290CAD43-6782-4467-A1BB-79DB95472E94}"/>
            </a:ext>
          </a:extLst>
        </xdr:cNvPr>
        <xdr:cNvSpPr txBox="1">
          <a:spLocks noChangeArrowheads="1"/>
        </xdr:cNvSpPr>
      </xdr:nvSpPr>
      <xdr:spPr bwMode="auto">
        <a:xfrm>
          <a:off x="7226300" y="5847603"/>
          <a:ext cx="1308100" cy="7758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66" name="Text Box 30" hidden="1">
          <a:extLst>
            <a:ext uri="{FF2B5EF4-FFF2-40B4-BE49-F238E27FC236}">
              <a16:creationId xmlns:a16="http://schemas.microsoft.com/office/drawing/2014/main" id="{C8B0A1CA-5938-4E29-9840-1CC918340C6B}"/>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67" name="Text Box 29" hidden="1">
          <a:extLst>
            <a:ext uri="{FF2B5EF4-FFF2-40B4-BE49-F238E27FC236}">
              <a16:creationId xmlns:a16="http://schemas.microsoft.com/office/drawing/2014/main" id="{8A17EF4C-5587-48C5-B564-1A901DEECF99}"/>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68" name="Text Box 28" hidden="1">
          <a:extLst>
            <a:ext uri="{FF2B5EF4-FFF2-40B4-BE49-F238E27FC236}">
              <a16:creationId xmlns:a16="http://schemas.microsoft.com/office/drawing/2014/main" id="{D70F2D71-96F0-4537-9FC4-9117363E1669}"/>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69" name="Text Box 27" hidden="1">
          <a:extLst>
            <a:ext uri="{FF2B5EF4-FFF2-40B4-BE49-F238E27FC236}">
              <a16:creationId xmlns:a16="http://schemas.microsoft.com/office/drawing/2014/main" id="{60EB0225-A44C-4D65-B0E1-B7A429DD4466}"/>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70" name="Text Box 26" hidden="1">
          <a:extLst>
            <a:ext uri="{FF2B5EF4-FFF2-40B4-BE49-F238E27FC236}">
              <a16:creationId xmlns:a16="http://schemas.microsoft.com/office/drawing/2014/main" id="{390DF92F-9E1B-4549-8D65-377BB05A33F1}"/>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95624</xdr:rowOff>
    </xdr:to>
    <xdr:sp macro="" textlink="">
      <xdr:nvSpPr>
        <xdr:cNvPr id="171" name="Text Box 25" hidden="1">
          <a:extLst>
            <a:ext uri="{FF2B5EF4-FFF2-40B4-BE49-F238E27FC236}">
              <a16:creationId xmlns:a16="http://schemas.microsoft.com/office/drawing/2014/main" id="{93148678-4034-4F82-A614-A2D535F981EB}"/>
            </a:ext>
          </a:extLst>
        </xdr:cNvPr>
        <xdr:cNvSpPr txBox="1">
          <a:spLocks noChangeArrowheads="1"/>
        </xdr:cNvSpPr>
      </xdr:nvSpPr>
      <xdr:spPr bwMode="auto">
        <a:xfrm>
          <a:off x="7226300" y="5847603"/>
          <a:ext cx="1308100" cy="7758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72" name="Text Box 36" hidden="1">
          <a:extLst>
            <a:ext uri="{FF2B5EF4-FFF2-40B4-BE49-F238E27FC236}">
              <a16:creationId xmlns:a16="http://schemas.microsoft.com/office/drawing/2014/main" id="{0D9D9668-93DE-497E-A1C6-D85BF3102CE4}"/>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73" name="Text Box 35" hidden="1">
          <a:extLst>
            <a:ext uri="{FF2B5EF4-FFF2-40B4-BE49-F238E27FC236}">
              <a16:creationId xmlns:a16="http://schemas.microsoft.com/office/drawing/2014/main" id="{C1DA6E58-CB2F-4944-A758-119EC2F27156}"/>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74" name="Text Box 34" hidden="1">
          <a:extLst>
            <a:ext uri="{FF2B5EF4-FFF2-40B4-BE49-F238E27FC236}">
              <a16:creationId xmlns:a16="http://schemas.microsoft.com/office/drawing/2014/main" id="{0AA8D2A2-1776-4C97-975A-E66C060E7C23}"/>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75" name="Text Box 33" hidden="1">
          <a:extLst>
            <a:ext uri="{FF2B5EF4-FFF2-40B4-BE49-F238E27FC236}">
              <a16:creationId xmlns:a16="http://schemas.microsoft.com/office/drawing/2014/main" id="{69936F8A-148B-4BB5-B0D3-8B865B915D45}"/>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76" name="Text Box 32" hidden="1">
          <a:extLst>
            <a:ext uri="{FF2B5EF4-FFF2-40B4-BE49-F238E27FC236}">
              <a16:creationId xmlns:a16="http://schemas.microsoft.com/office/drawing/2014/main" id="{F1E3FC25-4C51-4F77-B884-77AFA086675E}"/>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95624</xdr:rowOff>
    </xdr:to>
    <xdr:sp macro="" textlink="">
      <xdr:nvSpPr>
        <xdr:cNvPr id="177" name="Text Box 31" hidden="1">
          <a:extLst>
            <a:ext uri="{FF2B5EF4-FFF2-40B4-BE49-F238E27FC236}">
              <a16:creationId xmlns:a16="http://schemas.microsoft.com/office/drawing/2014/main" id="{B65BFB64-FF3F-4F40-A982-A68637D67935}"/>
            </a:ext>
          </a:extLst>
        </xdr:cNvPr>
        <xdr:cNvSpPr txBox="1">
          <a:spLocks noChangeArrowheads="1"/>
        </xdr:cNvSpPr>
      </xdr:nvSpPr>
      <xdr:spPr bwMode="auto">
        <a:xfrm>
          <a:off x="7226300" y="5847603"/>
          <a:ext cx="1308100" cy="7758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78" name="Text Box 42" hidden="1">
          <a:extLst>
            <a:ext uri="{FF2B5EF4-FFF2-40B4-BE49-F238E27FC236}">
              <a16:creationId xmlns:a16="http://schemas.microsoft.com/office/drawing/2014/main" id="{2C824168-826D-4BB7-A482-A8E0EE3AD96F}"/>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79" name="Text Box 41" hidden="1">
          <a:extLst>
            <a:ext uri="{FF2B5EF4-FFF2-40B4-BE49-F238E27FC236}">
              <a16:creationId xmlns:a16="http://schemas.microsoft.com/office/drawing/2014/main" id="{38CA3322-9FA2-4110-91DE-4F2ECA61D41D}"/>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80" name="Text Box 40" hidden="1">
          <a:extLst>
            <a:ext uri="{FF2B5EF4-FFF2-40B4-BE49-F238E27FC236}">
              <a16:creationId xmlns:a16="http://schemas.microsoft.com/office/drawing/2014/main" id="{9E33E067-F120-4FA9-A6C9-9FD73CC5BB2C}"/>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81" name="Text Box 39" hidden="1">
          <a:extLst>
            <a:ext uri="{FF2B5EF4-FFF2-40B4-BE49-F238E27FC236}">
              <a16:creationId xmlns:a16="http://schemas.microsoft.com/office/drawing/2014/main" id="{F8ABD992-C771-4805-9D31-5B77C79E3DCF}"/>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82" name="Text Box 38" hidden="1">
          <a:extLst>
            <a:ext uri="{FF2B5EF4-FFF2-40B4-BE49-F238E27FC236}">
              <a16:creationId xmlns:a16="http://schemas.microsoft.com/office/drawing/2014/main" id="{A0026E48-D1EE-4D82-B6A7-B6B8BE418DB4}"/>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95624</xdr:rowOff>
    </xdr:to>
    <xdr:sp macro="" textlink="">
      <xdr:nvSpPr>
        <xdr:cNvPr id="183" name="Text Box 37" hidden="1">
          <a:extLst>
            <a:ext uri="{FF2B5EF4-FFF2-40B4-BE49-F238E27FC236}">
              <a16:creationId xmlns:a16="http://schemas.microsoft.com/office/drawing/2014/main" id="{BD34B98D-3969-43BC-86A2-FBBDE26ECB61}"/>
            </a:ext>
          </a:extLst>
        </xdr:cNvPr>
        <xdr:cNvSpPr txBox="1">
          <a:spLocks noChangeArrowheads="1"/>
        </xdr:cNvSpPr>
      </xdr:nvSpPr>
      <xdr:spPr bwMode="auto">
        <a:xfrm>
          <a:off x="7226300" y="5847603"/>
          <a:ext cx="1308100" cy="7758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4</xdr:col>
      <xdr:colOff>0</xdr:colOff>
      <xdr:row>21</xdr:row>
      <xdr:rowOff>42956</xdr:rowOff>
    </xdr:to>
    <xdr:sp macro="" textlink="">
      <xdr:nvSpPr>
        <xdr:cNvPr id="184" name="Text Box 48" hidden="1">
          <a:extLst>
            <a:ext uri="{FF2B5EF4-FFF2-40B4-BE49-F238E27FC236}">
              <a16:creationId xmlns:a16="http://schemas.microsoft.com/office/drawing/2014/main" id="{A6D61781-A2C9-4E1D-8F82-5C31C894D8B1}"/>
            </a:ext>
          </a:extLst>
        </xdr:cNvPr>
        <xdr:cNvSpPr txBox="1">
          <a:spLocks noChangeArrowheads="1"/>
        </xdr:cNvSpPr>
      </xdr:nvSpPr>
      <xdr:spPr bwMode="auto">
        <a:xfrm>
          <a:off x="3136900" y="4625415"/>
          <a:ext cx="1371600" cy="1392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24</xdr:col>
      <xdr:colOff>152400</xdr:colOff>
      <xdr:row>16</xdr:row>
      <xdr:rowOff>59765</xdr:rowOff>
    </xdr:to>
    <xdr:sp macro="" textlink="">
      <xdr:nvSpPr>
        <xdr:cNvPr id="185" name="Text Box 47" hidden="1">
          <a:extLst>
            <a:ext uri="{FF2B5EF4-FFF2-40B4-BE49-F238E27FC236}">
              <a16:creationId xmlns:a16="http://schemas.microsoft.com/office/drawing/2014/main" id="{266E2749-183F-4754-810C-0E12D60999D6}"/>
            </a:ext>
          </a:extLst>
        </xdr:cNvPr>
        <xdr:cNvSpPr txBox="1">
          <a:spLocks noChangeArrowheads="1"/>
        </xdr:cNvSpPr>
      </xdr:nvSpPr>
      <xdr:spPr bwMode="auto">
        <a:xfrm>
          <a:off x="15894050" y="3690097"/>
          <a:ext cx="1358900" cy="7638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24</xdr:col>
      <xdr:colOff>285750</xdr:colOff>
      <xdr:row>33</xdr:row>
      <xdr:rowOff>37353</xdr:rowOff>
    </xdr:to>
    <xdr:sp macro="" textlink="">
      <xdr:nvSpPr>
        <xdr:cNvPr id="186" name="Text Box 46" hidden="1">
          <a:extLst>
            <a:ext uri="{FF2B5EF4-FFF2-40B4-BE49-F238E27FC236}">
              <a16:creationId xmlns:a16="http://schemas.microsoft.com/office/drawing/2014/main" id="{8AC273A9-F829-4932-B5AE-9F9C7041702D}"/>
            </a:ext>
          </a:extLst>
        </xdr:cNvPr>
        <xdr:cNvSpPr txBox="1">
          <a:spLocks noChangeArrowheads="1"/>
        </xdr:cNvSpPr>
      </xdr:nvSpPr>
      <xdr:spPr bwMode="auto">
        <a:xfrm>
          <a:off x="15970250" y="7639797"/>
          <a:ext cx="1416050" cy="9954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25</xdr:col>
      <xdr:colOff>152400</xdr:colOff>
      <xdr:row>33</xdr:row>
      <xdr:rowOff>151653</xdr:rowOff>
    </xdr:to>
    <xdr:sp macro="" textlink="">
      <xdr:nvSpPr>
        <xdr:cNvPr id="187" name="Text Box 45" hidden="1">
          <a:extLst>
            <a:ext uri="{FF2B5EF4-FFF2-40B4-BE49-F238E27FC236}">
              <a16:creationId xmlns:a16="http://schemas.microsoft.com/office/drawing/2014/main" id="{556B95B3-2C8B-470A-8A39-2464125E655A}"/>
            </a:ext>
          </a:extLst>
        </xdr:cNvPr>
        <xdr:cNvSpPr txBox="1">
          <a:spLocks noChangeArrowheads="1"/>
        </xdr:cNvSpPr>
      </xdr:nvSpPr>
      <xdr:spPr bwMode="auto">
        <a:xfrm>
          <a:off x="16554450" y="7335370"/>
          <a:ext cx="1339850" cy="1414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25</xdr:col>
      <xdr:colOff>152400</xdr:colOff>
      <xdr:row>16</xdr:row>
      <xdr:rowOff>78815</xdr:rowOff>
    </xdr:to>
    <xdr:sp macro="" textlink="">
      <xdr:nvSpPr>
        <xdr:cNvPr id="188" name="Text Box 44" hidden="1">
          <a:extLst>
            <a:ext uri="{FF2B5EF4-FFF2-40B4-BE49-F238E27FC236}">
              <a16:creationId xmlns:a16="http://schemas.microsoft.com/office/drawing/2014/main" id="{8E989136-8D40-4588-9115-63F4DDBB0163}"/>
            </a:ext>
          </a:extLst>
        </xdr:cNvPr>
        <xdr:cNvSpPr txBox="1">
          <a:spLocks noChangeArrowheads="1"/>
        </xdr:cNvSpPr>
      </xdr:nvSpPr>
      <xdr:spPr bwMode="auto">
        <a:xfrm>
          <a:off x="16554450" y="3690097"/>
          <a:ext cx="1339850" cy="782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10</xdr:col>
      <xdr:colOff>361950</xdr:colOff>
      <xdr:row>24</xdr:row>
      <xdr:rowOff>95624</xdr:rowOff>
    </xdr:to>
    <xdr:sp macro="" textlink="">
      <xdr:nvSpPr>
        <xdr:cNvPr id="189" name="Text Box 43" hidden="1">
          <a:extLst>
            <a:ext uri="{FF2B5EF4-FFF2-40B4-BE49-F238E27FC236}">
              <a16:creationId xmlns:a16="http://schemas.microsoft.com/office/drawing/2014/main" id="{B8441169-5340-4B73-A604-ECC2C7001F6E}"/>
            </a:ext>
          </a:extLst>
        </xdr:cNvPr>
        <xdr:cNvSpPr txBox="1">
          <a:spLocks noChangeArrowheads="1"/>
        </xdr:cNvSpPr>
      </xdr:nvSpPr>
      <xdr:spPr bwMode="auto">
        <a:xfrm>
          <a:off x="7226300" y="5847603"/>
          <a:ext cx="1308100" cy="7758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190" name="Text Box 54" hidden="1">
          <a:extLst>
            <a:ext uri="{FF2B5EF4-FFF2-40B4-BE49-F238E27FC236}">
              <a16:creationId xmlns:a16="http://schemas.microsoft.com/office/drawing/2014/main" id="{DF876DC5-299F-4304-8AC9-2E377D4D4025}"/>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191" name="Text Box 53" hidden="1">
          <a:extLst>
            <a:ext uri="{FF2B5EF4-FFF2-40B4-BE49-F238E27FC236}">
              <a16:creationId xmlns:a16="http://schemas.microsoft.com/office/drawing/2014/main" id="{00D05ABB-5BCF-4056-8C31-C3CF81030491}"/>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0</xdr:rowOff>
    </xdr:to>
    <xdr:sp macro="" textlink="">
      <xdr:nvSpPr>
        <xdr:cNvPr id="192" name="Text Box 52" hidden="1">
          <a:extLst>
            <a:ext uri="{FF2B5EF4-FFF2-40B4-BE49-F238E27FC236}">
              <a16:creationId xmlns:a16="http://schemas.microsoft.com/office/drawing/2014/main" id="{D4B71E8A-AEA1-460F-AE84-CDB89449422C}"/>
            </a:ext>
          </a:extLst>
        </xdr:cNvPr>
        <xdr:cNvSpPr txBox="1">
          <a:spLocks noChangeArrowheads="1"/>
        </xdr:cNvSpPr>
      </xdr:nvSpPr>
      <xdr:spPr bwMode="auto">
        <a:xfrm>
          <a:off x="15970250" y="7639797"/>
          <a:ext cx="3340100" cy="46728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48</xdr:row>
      <xdr:rowOff>114300</xdr:rowOff>
    </xdr:to>
    <xdr:sp macro="" textlink="">
      <xdr:nvSpPr>
        <xdr:cNvPr id="193" name="Text Box 51" hidden="1">
          <a:extLst>
            <a:ext uri="{FF2B5EF4-FFF2-40B4-BE49-F238E27FC236}">
              <a16:creationId xmlns:a16="http://schemas.microsoft.com/office/drawing/2014/main" id="{46C75BA3-62C5-4CC5-9944-542BDE32E438}"/>
            </a:ext>
          </a:extLst>
        </xdr:cNvPr>
        <xdr:cNvSpPr txBox="1">
          <a:spLocks noChangeArrowheads="1"/>
        </xdr:cNvSpPr>
      </xdr:nvSpPr>
      <xdr:spPr bwMode="auto">
        <a:xfrm>
          <a:off x="16554450" y="7335370"/>
          <a:ext cx="3530600" cy="49074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194" name="Text Box 50" hidden="1">
          <a:extLst>
            <a:ext uri="{FF2B5EF4-FFF2-40B4-BE49-F238E27FC236}">
              <a16:creationId xmlns:a16="http://schemas.microsoft.com/office/drawing/2014/main" id="{F420E829-335A-4AB1-8EC7-AC9033DFCE78}"/>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41</xdr:row>
      <xdr:rowOff>179294</xdr:rowOff>
    </xdr:to>
    <xdr:sp macro="" textlink="">
      <xdr:nvSpPr>
        <xdr:cNvPr id="195" name="Text Box 49" hidden="1">
          <a:extLst>
            <a:ext uri="{FF2B5EF4-FFF2-40B4-BE49-F238E27FC236}">
              <a16:creationId xmlns:a16="http://schemas.microsoft.com/office/drawing/2014/main" id="{F10906C5-70A5-4FE1-9906-DF3926755FB8}"/>
            </a:ext>
          </a:extLst>
        </xdr:cNvPr>
        <xdr:cNvSpPr txBox="1">
          <a:spLocks noChangeArrowheads="1"/>
        </xdr:cNvSpPr>
      </xdr:nvSpPr>
      <xdr:spPr bwMode="auto">
        <a:xfrm>
          <a:off x="7226300" y="5847603"/>
          <a:ext cx="3181350" cy="47012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171450</xdr:rowOff>
    </xdr:to>
    <xdr:sp macro="" textlink="">
      <xdr:nvSpPr>
        <xdr:cNvPr id="196" name="Text Box 55" hidden="1">
          <a:extLst>
            <a:ext uri="{FF2B5EF4-FFF2-40B4-BE49-F238E27FC236}">
              <a16:creationId xmlns:a16="http://schemas.microsoft.com/office/drawing/2014/main" id="{F691EB63-B8CE-42C2-9746-B19CFFF60D9E}"/>
            </a:ext>
          </a:extLst>
        </xdr:cNvPr>
        <xdr:cNvSpPr txBox="1">
          <a:spLocks noChangeArrowheads="1"/>
        </xdr:cNvSpPr>
      </xdr:nvSpPr>
      <xdr:spPr bwMode="auto">
        <a:xfrm>
          <a:off x="29229050" y="7561356"/>
          <a:ext cx="3733800" cy="4922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197" name="Text Box 1031" hidden="1">
          <a:extLst>
            <a:ext uri="{FF2B5EF4-FFF2-40B4-BE49-F238E27FC236}">
              <a16:creationId xmlns:a16="http://schemas.microsoft.com/office/drawing/2014/main" id="{C1A20FC7-8247-4C19-B103-BF9156FEF19E}"/>
            </a:ext>
          </a:extLst>
        </xdr:cNvPr>
        <xdr:cNvSpPr txBox="1">
          <a:spLocks noChangeArrowheads="1"/>
        </xdr:cNvSpPr>
      </xdr:nvSpPr>
      <xdr:spPr bwMode="auto">
        <a:xfrm>
          <a:off x="3136900" y="4625415"/>
          <a:ext cx="3473450" cy="48289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198" name="Text Box 1030" hidden="1">
          <a:extLst>
            <a:ext uri="{FF2B5EF4-FFF2-40B4-BE49-F238E27FC236}">
              <a16:creationId xmlns:a16="http://schemas.microsoft.com/office/drawing/2014/main" id="{4B01AA60-4D92-465F-B055-A0430FBE3A91}"/>
            </a:ext>
          </a:extLst>
        </xdr:cNvPr>
        <xdr:cNvSpPr txBox="1">
          <a:spLocks noChangeArrowheads="1"/>
        </xdr:cNvSpPr>
      </xdr:nvSpPr>
      <xdr:spPr bwMode="auto">
        <a:xfrm>
          <a:off x="15894050" y="3690097"/>
          <a:ext cx="3282950" cy="4945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199" name="Text Box 1029" hidden="1">
          <a:extLst>
            <a:ext uri="{FF2B5EF4-FFF2-40B4-BE49-F238E27FC236}">
              <a16:creationId xmlns:a16="http://schemas.microsoft.com/office/drawing/2014/main" id="{8CD08EAD-D5E0-4123-B83B-46F844013E54}"/>
            </a:ext>
          </a:extLst>
        </xdr:cNvPr>
        <xdr:cNvSpPr txBox="1">
          <a:spLocks noChangeArrowheads="1"/>
        </xdr:cNvSpPr>
      </xdr:nvSpPr>
      <xdr:spPr bwMode="auto">
        <a:xfrm>
          <a:off x="15970250" y="7639797"/>
          <a:ext cx="3340100" cy="48062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1681</xdr:rowOff>
    </xdr:to>
    <xdr:sp macro="" textlink="">
      <xdr:nvSpPr>
        <xdr:cNvPr id="200" name="Text Box 1028" hidden="1">
          <a:extLst>
            <a:ext uri="{FF2B5EF4-FFF2-40B4-BE49-F238E27FC236}">
              <a16:creationId xmlns:a16="http://schemas.microsoft.com/office/drawing/2014/main" id="{59381FBA-25D3-4D0A-93A9-392D7571A742}"/>
            </a:ext>
          </a:extLst>
        </xdr:cNvPr>
        <xdr:cNvSpPr txBox="1">
          <a:spLocks noChangeArrowheads="1"/>
        </xdr:cNvSpPr>
      </xdr:nvSpPr>
      <xdr:spPr bwMode="auto">
        <a:xfrm>
          <a:off x="16554450" y="7335370"/>
          <a:ext cx="3530600" cy="4978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01" name="Text Box 1027" hidden="1">
          <a:extLst>
            <a:ext uri="{FF2B5EF4-FFF2-40B4-BE49-F238E27FC236}">
              <a16:creationId xmlns:a16="http://schemas.microsoft.com/office/drawing/2014/main" id="{AA62B4BD-D766-4E73-9093-DDD5D8CFBBDD}"/>
            </a:ext>
          </a:extLst>
        </xdr:cNvPr>
        <xdr:cNvSpPr txBox="1">
          <a:spLocks noChangeArrowheads="1"/>
        </xdr:cNvSpPr>
      </xdr:nvSpPr>
      <xdr:spPr bwMode="auto">
        <a:xfrm>
          <a:off x="16554450" y="3690097"/>
          <a:ext cx="3530600" cy="49642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02" name="Text Box 1026" hidden="1">
          <a:extLst>
            <a:ext uri="{FF2B5EF4-FFF2-40B4-BE49-F238E27FC236}">
              <a16:creationId xmlns:a16="http://schemas.microsoft.com/office/drawing/2014/main" id="{7B2F902B-4F87-461E-9999-33E38997FCFD}"/>
            </a:ext>
          </a:extLst>
        </xdr:cNvPr>
        <xdr:cNvSpPr txBox="1">
          <a:spLocks noChangeArrowheads="1"/>
        </xdr:cNvSpPr>
      </xdr:nvSpPr>
      <xdr:spPr bwMode="auto">
        <a:xfrm>
          <a:off x="7226300" y="5847603"/>
          <a:ext cx="3181350" cy="488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03" name="Text Box 1025" hidden="1">
          <a:extLst>
            <a:ext uri="{FF2B5EF4-FFF2-40B4-BE49-F238E27FC236}">
              <a16:creationId xmlns:a16="http://schemas.microsoft.com/office/drawing/2014/main" id="{C92D152C-BDD5-466E-8B8B-A50D95D35A79}"/>
            </a:ext>
          </a:extLst>
        </xdr:cNvPr>
        <xdr:cNvSpPr txBox="1">
          <a:spLocks noChangeArrowheads="1"/>
        </xdr:cNvSpPr>
      </xdr:nvSpPr>
      <xdr:spPr bwMode="auto">
        <a:xfrm>
          <a:off x="29229050" y="7561356"/>
          <a:ext cx="3733800" cy="4865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04" name="Text Box 62" hidden="1">
          <a:extLst>
            <a:ext uri="{FF2B5EF4-FFF2-40B4-BE49-F238E27FC236}">
              <a16:creationId xmlns:a16="http://schemas.microsoft.com/office/drawing/2014/main" id="{59756D1E-ACEA-4EA5-814F-7357EC219382}"/>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05" name="Text Box 61" hidden="1">
          <a:extLst>
            <a:ext uri="{FF2B5EF4-FFF2-40B4-BE49-F238E27FC236}">
              <a16:creationId xmlns:a16="http://schemas.microsoft.com/office/drawing/2014/main" id="{9255E2EA-FA00-43A9-AD7A-58D0515ECEA5}"/>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06" name="Text Box 60" hidden="1">
          <a:extLst>
            <a:ext uri="{FF2B5EF4-FFF2-40B4-BE49-F238E27FC236}">
              <a16:creationId xmlns:a16="http://schemas.microsoft.com/office/drawing/2014/main" id="{55D4B5C7-1E21-494D-A891-9E2059B79507}"/>
            </a:ext>
          </a:extLst>
        </xdr:cNvPr>
        <xdr:cNvSpPr txBox="1">
          <a:spLocks noChangeArrowheads="1"/>
        </xdr:cNvSpPr>
      </xdr:nvSpPr>
      <xdr:spPr bwMode="auto">
        <a:xfrm>
          <a:off x="15970250" y="7639797"/>
          <a:ext cx="3340100" cy="48062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1681</xdr:rowOff>
    </xdr:to>
    <xdr:sp macro="" textlink="">
      <xdr:nvSpPr>
        <xdr:cNvPr id="207" name="Text Box 59" hidden="1">
          <a:extLst>
            <a:ext uri="{FF2B5EF4-FFF2-40B4-BE49-F238E27FC236}">
              <a16:creationId xmlns:a16="http://schemas.microsoft.com/office/drawing/2014/main" id="{E778343C-90D9-492E-86A0-57C3115FD4E7}"/>
            </a:ext>
          </a:extLst>
        </xdr:cNvPr>
        <xdr:cNvSpPr txBox="1">
          <a:spLocks noChangeArrowheads="1"/>
        </xdr:cNvSpPr>
      </xdr:nvSpPr>
      <xdr:spPr bwMode="auto">
        <a:xfrm>
          <a:off x="16554450" y="7335370"/>
          <a:ext cx="3530600" cy="49789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08" name="Text Box 58" hidden="1">
          <a:extLst>
            <a:ext uri="{FF2B5EF4-FFF2-40B4-BE49-F238E27FC236}">
              <a16:creationId xmlns:a16="http://schemas.microsoft.com/office/drawing/2014/main" id="{3C87ED4F-90F4-4FBA-8D16-3592E27C75D4}"/>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09" name="Text Box 57" hidden="1">
          <a:extLst>
            <a:ext uri="{FF2B5EF4-FFF2-40B4-BE49-F238E27FC236}">
              <a16:creationId xmlns:a16="http://schemas.microsoft.com/office/drawing/2014/main" id="{EC9BEEB2-7C1A-4545-8BF0-701D0C655D9E}"/>
            </a:ext>
          </a:extLst>
        </xdr:cNvPr>
        <xdr:cNvSpPr txBox="1">
          <a:spLocks noChangeArrowheads="1"/>
        </xdr:cNvSpPr>
      </xdr:nvSpPr>
      <xdr:spPr bwMode="auto">
        <a:xfrm>
          <a:off x="7226300" y="5847603"/>
          <a:ext cx="3181350" cy="488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10" name="Text Box 56" hidden="1">
          <a:extLst>
            <a:ext uri="{FF2B5EF4-FFF2-40B4-BE49-F238E27FC236}">
              <a16:creationId xmlns:a16="http://schemas.microsoft.com/office/drawing/2014/main" id="{91EF6D9B-659A-4759-9753-454EE42CCE6F}"/>
            </a:ext>
          </a:extLst>
        </xdr:cNvPr>
        <xdr:cNvSpPr txBox="1">
          <a:spLocks noChangeArrowheads="1"/>
        </xdr:cNvSpPr>
      </xdr:nvSpPr>
      <xdr:spPr bwMode="auto">
        <a:xfrm>
          <a:off x="29229050" y="7561356"/>
          <a:ext cx="3733800" cy="48655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11" name="Text Box 14" hidden="1">
          <a:extLst>
            <a:ext uri="{FF2B5EF4-FFF2-40B4-BE49-F238E27FC236}">
              <a16:creationId xmlns:a16="http://schemas.microsoft.com/office/drawing/2014/main" id="{4ECD13CE-DA35-4D8C-8D78-E529F4015B59}"/>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12" name="Text Box 13" hidden="1">
          <a:extLst>
            <a:ext uri="{FF2B5EF4-FFF2-40B4-BE49-F238E27FC236}">
              <a16:creationId xmlns:a16="http://schemas.microsoft.com/office/drawing/2014/main" id="{3B5B3CCA-0DF8-4A88-93C9-A1B135BD6866}"/>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13" name="Text Box 12" hidden="1">
          <a:extLst>
            <a:ext uri="{FF2B5EF4-FFF2-40B4-BE49-F238E27FC236}">
              <a16:creationId xmlns:a16="http://schemas.microsoft.com/office/drawing/2014/main" id="{6D65A910-FCCA-4DE5-A288-27BFFC065797}"/>
            </a:ext>
          </a:extLst>
        </xdr:cNvPr>
        <xdr:cNvSpPr txBox="1">
          <a:spLocks noChangeArrowheads="1"/>
        </xdr:cNvSpPr>
      </xdr:nvSpPr>
      <xdr:spPr bwMode="auto">
        <a:xfrm>
          <a:off x="15970250" y="7639797"/>
          <a:ext cx="3340100" cy="48062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0</xdr:rowOff>
    </xdr:to>
    <xdr:sp macro="" textlink="">
      <xdr:nvSpPr>
        <xdr:cNvPr id="214" name="Text Box 11" hidden="1">
          <a:extLst>
            <a:ext uri="{FF2B5EF4-FFF2-40B4-BE49-F238E27FC236}">
              <a16:creationId xmlns:a16="http://schemas.microsoft.com/office/drawing/2014/main" id="{DAB91BEC-F2EF-4EBC-879B-0CC4DECCF4D0}"/>
            </a:ext>
          </a:extLst>
        </xdr:cNvPr>
        <xdr:cNvSpPr txBox="1">
          <a:spLocks noChangeArrowheads="1"/>
        </xdr:cNvSpPr>
      </xdr:nvSpPr>
      <xdr:spPr bwMode="auto">
        <a:xfrm>
          <a:off x="16554450" y="7335370"/>
          <a:ext cx="3530600" cy="49772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15" name="Text Box 10" hidden="1">
          <a:extLst>
            <a:ext uri="{FF2B5EF4-FFF2-40B4-BE49-F238E27FC236}">
              <a16:creationId xmlns:a16="http://schemas.microsoft.com/office/drawing/2014/main" id="{07C874B5-61DA-4937-8B63-F86A9080FA84}"/>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16" name="Text Box 9" hidden="1">
          <a:extLst>
            <a:ext uri="{FF2B5EF4-FFF2-40B4-BE49-F238E27FC236}">
              <a16:creationId xmlns:a16="http://schemas.microsoft.com/office/drawing/2014/main" id="{365C5312-3560-476F-991A-5263E46512A7}"/>
            </a:ext>
          </a:extLst>
        </xdr:cNvPr>
        <xdr:cNvSpPr txBox="1">
          <a:spLocks noChangeArrowheads="1"/>
        </xdr:cNvSpPr>
      </xdr:nvSpPr>
      <xdr:spPr bwMode="auto">
        <a:xfrm>
          <a:off x="7226300" y="5847603"/>
          <a:ext cx="3181350" cy="488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17" name="Text Box 8" hidden="1">
          <a:extLst>
            <a:ext uri="{FF2B5EF4-FFF2-40B4-BE49-F238E27FC236}">
              <a16:creationId xmlns:a16="http://schemas.microsoft.com/office/drawing/2014/main" id="{B3987AE3-1532-46AA-BB2F-B86E2DE90C1C}"/>
            </a:ext>
          </a:extLst>
        </xdr:cNvPr>
        <xdr:cNvSpPr txBox="1">
          <a:spLocks noChangeArrowheads="1"/>
        </xdr:cNvSpPr>
      </xdr:nvSpPr>
      <xdr:spPr bwMode="auto">
        <a:xfrm>
          <a:off x="29229050" y="7561356"/>
          <a:ext cx="3733800" cy="48655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18" name="Arrow: Pentagon 217">
          <a:hlinkClick xmlns:r="http://schemas.openxmlformats.org/officeDocument/2006/relationships" r:id="rId1"/>
          <a:extLst>
            <a:ext uri="{FF2B5EF4-FFF2-40B4-BE49-F238E27FC236}">
              <a16:creationId xmlns:a16="http://schemas.microsoft.com/office/drawing/2014/main" id="{489F6271-2319-4B5E-8256-4D049ADE0612}"/>
            </a:ext>
          </a:extLst>
        </xdr:cNvPr>
        <xdr:cNvSpPr/>
      </xdr:nvSpPr>
      <xdr:spPr>
        <a:xfrm>
          <a:off x="56029" y="33617"/>
          <a:ext cx="659466" cy="280147"/>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19" name="Text Box 21" hidden="1">
          <a:extLst>
            <a:ext uri="{FF2B5EF4-FFF2-40B4-BE49-F238E27FC236}">
              <a16:creationId xmlns:a16="http://schemas.microsoft.com/office/drawing/2014/main" id="{09CE355A-4797-4196-B4D0-1460704D4244}"/>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20" name="Text Box 20" hidden="1">
          <a:extLst>
            <a:ext uri="{FF2B5EF4-FFF2-40B4-BE49-F238E27FC236}">
              <a16:creationId xmlns:a16="http://schemas.microsoft.com/office/drawing/2014/main" id="{16F12204-8837-42EF-930D-311FD874139A}"/>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21" name="Text Box 19" hidden="1">
          <a:extLst>
            <a:ext uri="{FF2B5EF4-FFF2-40B4-BE49-F238E27FC236}">
              <a16:creationId xmlns:a16="http://schemas.microsoft.com/office/drawing/2014/main" id="{C364F91C-1674-4803-9227-F270E1E6FAF5}"/>
            </a:ext>
          </a:extLst>
        </xdr:cNvPr>
        <xdr:cNvSpPr txBox="1">
          <a:spLocks noChangeArrowheads="1"/>
        </xdr:cNvSpPr>
      </xdr:nvSpPr>
      <xdr:spPr bwMode="auto">
        <a:xfrm>
          <a:off x="15970250" y="7639797"/>
          <a:ext cx="3340100" cy="48062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1681</xdr:rowOff>
    </xdr:to>
    <xdr:sp macro="" textlink="">
      <xdr:nvSpPr>
        <xdr:cNvPr id="222" name="Text Box 18" hidden="1">
          <a:extLst>
            <a:ext uri="{FF2B5EF4-FFF2-40B4-BE49-F238E27FC236}">
              <a16:creationId xmlns:a16="http://schemas.microsoft.com/office/drawing/2014/main" id="{CF162DB8-7939-4072-B20D-536F5A66948B}"/>
            </a:ext>
          </a:extLst>
        </xdr:cNvPr>
        <xdr:cNvSpPr txBox="1">
          <a:spLocks noChangeArrowheads="1"/>
        </xdr:cNvSpPr>
      </xdr:nvSpPr>
      <xdr:spPr bwMode="auto">
        <a:xfrm>
          <a:off x="16554450" y="7335370"/>
          <a:ext cx="3530600" cy="49789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23" name="Text Box 17" hidden="1">
          <a:extLst>
            <a:ext uri="{FF2B5EF4-FFF2-40B4-BE49-F238E27FC236}">
              <a16:creationId xmlns:a16="http://schemas.microsoft.com/office/drawing/2014/main" id="{49D4A82D-AD50-4F53-8C94-CD7F79A810A8}"/>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24" name="Text Box 16" hidden="1">
          <a:extLst>
            <a:ext uri="{FF2B5EF4-FFF2-40B4-BE49-F238E27FC236}">
              <a16:creationId xmlns:a16="http://schemas.microsoft.com/office/drawing/2014/main" id="{E2DA55B8-F97C-43FC-8E88-767BB1C8ED43}"/>
            </a:ext>
          </a:extLst>
        </xdr:cNvPr>
        <xdr:cNvSpPr txBox="1">
          <a:spLocks noChangeArrowheads="1"/>
        </xdr:cNvSpPr>
      </xdr:nvSpPr>
      <xdr:spPr bwMode="auto">
        <a:xfrm>
          <a:off x="7226300" y="5847603"/>
          <a:ext cx="3181350" cy="488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25" name="Text Box 15" hidden="1">
          <a:extLst>
            <a:ext uri="{FF2B5EF4-FFF2-40B4-BE49-F238E27FC236}">
              <a16:creationId xmlns:a16="http://schemas.microsoft.com/office/drawing/2014/main" id="{AAC42F09-54C8-42A7-AC32-4D191C42B5C3}"/>
            </a:ext>
          </a:extLst>
        </xdr:cNvPr>
        <xdr:cNvSpPr txBox="1">
          <a:spLocks noChangeArrowheads="1"/>
        </xdr:cNvSpPr>
      </xdr:nvSpPr>
      <xdr:spPr bwMode="auto">
        <a:xfrm>
          <a:off x="29229050" y="7561356"/>
          <a:ext cx="3733800" cy="48655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26" name="Text Box 28" hidden="1">
          <a:extLst>
            <a:ext uri="{FF2B5EF4-FFF2-40B4-BE49-F238E27FC236}">
              <a16:creationId xmlns:a16="http://schemas.microsoft.com/office/drawing/2014/main" id="{BADE988E-8520-41D6-B192-F6E49583BBF1}"/>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27" name="Text Box 27" hidden="1">
          <a:extLst>
            <a:ext uri="{FF2B5EF4-FFF2-40B4-BE49-F238E27FC236}">
              <a16:creationId xmlns:a16="http://schemas.microsoft.com/office/drawing/2014/main" id="{87BF3F2C-5993-40DF-83CD-C1AF722053FF}"/>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28" name="Text Box 26" hidden="1">
          <a:extLst>
            <a:ext uri="{FF2B5EF4-FFF2-40B4-BE49-F238E27FC236}">
              <a16:creationId xmlns:a16="http://schemas.microsoft.com/office/drawing/2014/main" id="{65B3FB81-EF5D-4BDE-97E2-0759A1CC8EB4}"/>
            </a:ext>
          </a:extLst>
        </xdr:cNvPr>
        <xdr:cNvSpPr txBox="1">
          <a:spLocks noChangeArrowheads="1"/>
        </xdr:cNvSpPr>
      </xdr:nvSpPr>
      <xdr:spPr bwMode="auto">
        <a:xfrm>
          <a:off x="15970250" y="7639797"/>
          <a:ext cx="3340100" cy="48062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1681</xdr:rowOff>
    </xdr:to>
    <xdr:sp macro="" textlink="">
      <xdr:nvSpPr>
        <xdr:cNvPr id="229" name="Text Box 25" hidden="1">
          <a:extLst>
            <a:ext uri="{FF2B5EF4-FFF2-40B4-BE49-F238E27FC236}">
              <a16:creationId xmlns:a16="http://schemas.microsoft.com/office/drawing/2014/main" id="{BCAF14BA-73F1-4CD5-A136-0E5089FAB015}"/>
            </a:ext>
          </a:extLst>
        </xdr:cNvPr>
        <xdr:cNvSpPr txBox="1">
          <a:spLocks noChangeArrowheads="1"/>
        </xdr:cNvSpPr>
      </xdr:nvSpPr>
      <xdr:spPr bwMode="auto">
        <a:xfrm>
          <a:off x="16554450" y="7335370"/>
          <a:ext cx="3530600" cy="49789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30" name="Text Box 24" hidden="1">
          <a:extLst>
            <a:ext uri="{FF2B5EF4-FFF2-40B4-BE49-F238E27FC236}">
              <a16:creationId xmlns:a16="http://schemas.microsoft.com/office/drawing/2014/main" id="{E34572B9-B644-4B54-B99A-4B3E5FDB909B}"/>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31" name="Text Box 23" hidden="1">
          <a:extLst>
            <a:ext uri="{FF2B5EF4-FFF2-40B4-BE49-F238E27FC236}">
              <a16:creationId xmlns:a16="http://schemas.microsoft.com/office/drawing/2014/main" id="{C103D3AF-6D88-4A82-8E5E-548D1B8AC48E}"/>
            </a:ext>
          </a:extLst>
        </xdr:cNvPr>
        <xdr:cNvSpPr txBox="1">
          <a:spLocks noChangeArrowheads="1"/>
        </xdr:cNvSpPr>
      </xdr:nvSpPr>
      <xdr:spPr bwMode="auto">
        <a:xfrm>
          <a:off x="7226300" y="5847603"/>
          <a:ext cx="3181350" cy="488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32" name="Text Box 22" hidden="1">
          <a:extLst>
            <a:ext uri="{FF2B5EF4-FFF2-40B4-BE49-F238E27FC236}">
              <a16:creationId xmlns:a16="http://schemas.microsoft.com/office/drawing/2014/main" id="{6C7E94AF-5E11-4ED3-ACB5-BCFE6746A3F9}"/>
            </a:ext>
          </a:extLst>
        </xdr:cNvPr>
        <xdr:cNvSpPr txBox="1">
          <a:spLocks noChangeArrowheads="1"/>
        </xdr:cNvSpPr>
      </xdr:nvSpPr>
      <xdr:spPr bwMode="auto">
        <a:xfrm>
          <a:off x="29229050" y="7561356"/>
          <a:ext cx="3733800" cy="48655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33" name="Text Box 42" hidden="1">
          <a:extLst>
            <a:ext uri="{FF2B5EF4-FFF2-40B4-BE49-F238E27FC236}">
              <a16:creationId xmlns:a16="http://schemas.microsoft.com/office/drawing/2014/main" id="{425A89DA-C031-430F-BD40-4F9C898376B0}"/>
            </a:ext>
          </a:extLst>
        </xdr:cNvPr>
        <xdr:cNvSpPr txBox="1">
          <a:spLocks noChangeArrowheads="1"/>
        </xdr:cNvSpPr>
      </xdr:nvSpPr>
      <xdr:spPr bwMode="auto">
        <a:xfrm>
          <a:off x="3136900" y="4625415"/>
          <a:ext cx="3473450" cy="48289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34" name="Text Box 41" hidden="1">
          <a:extLst>
            <a:ext uri="{FF2B5EF4-FFF2-40B4-BE49-F238E27FC236}">
              <a16:creationId xmlns:a16="http://schemas.microsoft.com/office/drawing/2014/main" id="{1675D31E-7ABB-4079-B7E1-1031228779C1}"/>
            </a:ext>
          </a:extLst>
        </xdr:cNvPr>
        <xdr:cNvSpPr txBox="1">
          <a:spLocks noChangeArrowheads="1"/>
        </xdr:cNvSpPr>
      </xdr:nvSpPr>
      <xdr:spPr bwMode="auto">
        <a:xfrm>
          <a:off x="15894050" y="3690097"/>
          <a:ext cx="3282950" cy="4945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35" name="Text Box 40" hidden="1">
          <a:extLst>
            <a:ext uri="{FF2B5EF4-FFF2-40B4-BE49-F238E27FC236}">
              <a16:creationId xmlns:a16="http://schemas.microsoft.com/office/drawing/2014/main" id="{2F60CCE0-6903-4BE0-945B-930F1E2CC404}"/>
            </a:ext>
          </a:extLst>
        </xdr:cNvPr>
        <xdr:cNvSpPr txBox="1">
          <a:spLocks noChangeArrowheads="1"/>
        </xdr:cNvSpPr>
      </xdr:nvSpPr>
      <xdr:spPr bwMode="auto">
        <a:xfrm>
          <a:off x="15970250" y="7639797"/>
          <a:ext cx="3340100" cy="48062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0</xdr:rowOff>
    </xdr:to>
    <xdr:sp macro="" textlink="">
      <xdr:nvSpPr>
        <xdr:cNvPr id="236" name="Text Box 39" hidden="1">
          <a:extLst>
            <a:ext uri="{FF2B5EF4-FFF2-40B4-BE49-F238E27FC236}">
              <a16:creationId xmlns:a16="http://schemas.microsoft.com/office/drawing/2014/main" id="{FAC182E0-1435-4F8A-8ECC-117E30A2EC6A}"/>
            </a:ext>
          </a:extLst>
        </xdr:cNvPr>
        <xdr:cNvSpPr txBox="1">
          <a:spLocks noChangeArrowheads="1"/>
        </xdr:cNvSpPr>
      </xdr:nvSpPr>
      <xdr:spPr bwMode="auto">
        <a:xfrm>
          <a:off x="16554450" y="7335370"/>
          <a:ext cx="3530600" cy="4977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37" name="Text Box 38" hidden="1">
          <a:extLst>
            <a:ext uri="{FF2B5EF4-FFF2-40B4-BE49-F238E27FC236}">
              <a16:creationId xmlns:a16="http://schemas.microsoft.com/office/drawing/2014/main" id="{4BEF6AB0-3F56-4E81-A960-BF7008EC30E9}"/>
            </a:ext>
          </a:extLst>
        </xdr:cNvPr>
        <xdr:cNvSpPr txBox="1">
          <a:spLocks noChangeArrowheads="1"/>
        </xdr:cNvSpPr>
      </xdr:nvSpPr>
      <xdr:spPr bwMode="auto">
        <a:xfrm>
          <a:off x="16554450" y="3690097"/>
          <a:ext cx="3530600" cy="49642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38" name="Text Box 37" hidden="1">
          <a:extLst>
            <a:ext uri="{FF2B5EF4-FFF2-40B4-BE49-F238E27FC236}">
              <a16:creationId xmlns:a16="http://schemas.microsoft.com/office/drawing/2014/main" id="{19D62AEA-D19F-40FF-A7A0-C27C442160D1}"/>
            </a:ext>
          </a:extLst>
        </xdr:cNvPr>
        <xdr:cNvSpPr txBox="1">
          <a:spLocks noChangeArrowheads="1"/>
        </xdr:cNvSpPr>
      </xdr:nvSpPr>
      <xdr:spPr bwMode="auto">
        <a:xfrm>
          <a:off x="7226300" y="5847603"/>
          <a:ext cx="3181350" cy="488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39" name="Text Box 36" hidden="1">
          <a:extLst>
            <a:ext uri="{FF2B5EF4-FFF2-40B4-BE49-F238E27FC236}">
              <a16:creationId xmlns:a16="http://schemas.microsoft.com/office/drawing/2014/main" id="{FFE08044-CD76-4B4C-BEFC-624ED8922ABE}"/>
            </a:ext>
          </a:extLst>
        </xdr:cNvPr>
        <xdr:cNvSpPr txBox="1">
          <a:spLocks noChangeArrowheads="1"/>
        </xdr:cNvSpPr>
      </xdr:nvSpPr>
      <xdr:spPr bwMode="auto">
        <a:xfrm>
          <a:off x="29229050" y="7561356"/>
          <a:ext cx="3733800" cy="4865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40" name="Text Box 35" hidden="1">
          <a:extLst>
            <a:ext uri="{FF2B5EF4-FFF2-40B4-BE49-F238E27FC236}">
              <a16:creationId xmlns:a16="http://schemas.microsoft.com/office/drawing/2014/main" id="{AFBEABF4-446F-4DF1-8739-2B66C5E60A10}"/>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41" name="Text Box 34" hidden="1">
          <a:extLst>
            <a:ext uri="{FF2B5EF4-FFF2-40B4-BE49-F238E27FC236}">
              <a16:creationId xmlns:a16="http://schemas.microsoft.com/office/drawing/2014/main" id="{8BF0C380-6381-4F19-861C-3A9FBA0DF7C4}"/>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42" name="Text Box 33" hidden="1">
          <a:extLst>
            <a:ext uri="{FF2B5EF4-FFF2-40B4-BE49-F238E27FC236}">
              <a16:creationId xmlns:a16="http://schemas.microsoft.com/office/drawing/2014/main" id="{63DD3552-F9F7-4386-90AF-1EB0305C58C9}"/>
            </a:ext>
          </a:extLst>
        </xdr:cNvPr>
        <xdr:cNvSpPr txBox="1">
          <a:spLocks noChangeArrowheads="1"/>
        </xdr:cNvSpPr>
      </xdr:nvSpPr>
      <xdr:spPr bwMode="auto">
        <a:xfrm>
          <a:off x="15970250" y="7639797"/>
          <a:ext cx="3340100" cy="48062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0</xdr:rowOff>
    </xdr:to>
    <xdr:sp macro="" textlink="">
      <xdr:nvSpPr>
        <xdr:cNvPr id="243" name="Text Box 32" hidden="1">
          <a:extLst>
            <a:ext uri="{FF2B5EF4-FFF2-40B4-BE49-F238E27FC236}">
              <a16:creationId xmlns:a16="http://schemas.microsoft.com/office/drawing/2014/main" id="{1B7FBF03-97C2-43C0-97D3-1146237F1CD0}"/>
            </a:ext>
          </a:extLst>
        </xdr:cNvPr>
        <xdr:cNvSpPr txBox="1">
          <a:spLocks noChangeArrowheads="1"/>
        </xdr:cNvSpPr>
      </xdr:nvSpPr>
      <xdr:spPr bwMode="auto">
        <a:xfrm>
          <a:off x="16554450" y="7335370"/>
          <a:ext cx="3530600" cy="49772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44" name="Text Box 31" hidden="1">
          <a:extLst>
            <a:ext uri="{FF2B5EF4-FFF2-40B4-BE49-F238E27FC236}">
              <a16:creationId xmlns:a16="http://schemas.microsoft.com/office/drawing/2014/main" id="{40B03973-075C-446F-B2EA-B632DBD52665}"/>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45" name="Text Box 30" hidden="1">
          <a:extLst>
            <a:ext uri="{FF2B5EF4-FFF2-40B4-BE49-F238E27FC236}">
              <a16:creationId xmlns:a16="http://schemas.microsoft.com/office/drawing/2014/main" id="{9A635F66-293F-4B5C-95C7-2681E732FC14}"/>
            </a:ext>
          </a:extLst>
        </xdr:cNvPr>
        <xdr:cNvSpPr txBox="1">
          <a:spLocks noChangeArrowheads="1"/>
        </xdr:cNvSpPr>
      </xdr:nvSpPr>
      <xdr:spPr bwMode="auto">
        <a:xfrm>
          <a:off x="7226300" y="5847603"/>
          <a:ext cx="3181350" cy="488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46" name="Text Box 29" hidden="1">
          <a:extLst>
            <a:ext uri="{FF2B5EF4-FFF2-40B4-BE49-F238E27FC236}">
              <a16:creationId xmlns:a16="http://schemas.microsoft.com/office/drawing/2014/main" id="{F087E5D1-E82F-4E14-975A-8687851B799B}"/>
            </a:ext>
          </a:extLst>
        </xdr:cNvPr>
        <xdr:cNvSpPr txBox="1">
          <a:spLocks noChangeArrowheads="1"/>
        </xdr:cNvSpPr>
      </xdr:nvSpPr>
      <xdr:spPr bwMode="auto">
        <a:xfrm>
          <a:off x="29229050" y="7561356"/>
          <a:ext cx="3733800" cy="48655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47" name="Text Box 49" hidden="1">
          <a:extLst>
            <a:ext uri="{FF2B5EF4-FFF2-40B4-BE49-F238E27FC236}">
              <a16:creationId xmlns:a16="http://schemas.microsoft.com/office/drawing/2014/main" id="{E45428E3-994D-432B-B486-3381A2BFBA6C}"/>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48" name="Text Box 48" hidden="1">
          <a:extLst>
            <a:ext uri="{FF2B5EF4-FFF2-40B4-BE49-F238E27FC236}">
              <a16:creationId xmlns:a16="http://schemas.microsoft.com/office/drawing/2014/main" id="{62E06745-D316-4943-A166-DDC33147D18E}"/>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49" name="Text Box 47" hidden="1">
          <a:extLst>
            <a:ext uri="{FF2B5EF4-FFF2-40B4-BE49-F238E27FC236}">
              <a16:creationId xmlns:a16="http://schemas.microsoft.com/office/drawing/2014/main" id="{833F9368-1166-4102-97E7-E8458027F3B5}"/>
            </a:ext>
          </a:extLst>
        </xdr:cNvPr>
        <xdr:cNvSpPr txBox="1">
          <a:spLocks noChangeArrowheads="1"/>
        </xdr:cNvSpPr>
      </xdr:nvSpPr>
      <xdr:spPr bwMode="auto">
        <a:xfrm>
          <a:off x="15970250" y="7639797"/>
          <a:ext cx="3340100" cy="48062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0</xdr:rowOff>
    </xdr:to>
    <xdr:sp macro="" textlink="">
      <xdr:nvSpPr>
        <xdr:cNvPr id="250" name="Text Box 46" hidden="1">
          <a:extLst>
            <a:ext uri="{FF2B5EF4-FFF2-40B4-BE49-F238E27FC236}">
              <a16:creationId xmlns:a16="http://schemas.microsoft.com/office/drawing/2014/main" id="{1CED154A-DA82-4D9E-A5F3-C71BD615AAF1}"/>
            </a:ext>
          </a:extLst>
        </xdr:cNvPr>
        <xdr:cNvSpPr txBox="1">
          <a:spLocks noChangeArrowheads="1"/>
        </xdr:cNvSpPr>
      </xdr:nvSpPr>
      <xdr:spPr bwMode="auto">
        <a:xfrm>
          <a:off x="16554450" y="7335370"/>
          <a:ext cx="3530600" cy="49772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51" name="Text Box 45" hidden="1">
          <a:extLst>
            <a:ext uri="{FF2B5EF4-FFF2-40B4-BE49-F238E27FC236}">
              <a16:creationId xmlns:a16="http://schemas.microsoft.com/office/drawing/2014/main" id="{C4B21A4D-94E1-497F-800D-588CAD24F9A8}"/>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52" name="Text Box 44" hidden="1">
          <a:extLst>
            <a:ext uri="{FF2B5EF4-FFF2-40B4-BE49-F238E27FC236}">
              <a16:creationId xmlns:a16="http://schemas.microsoft.com/office/drawing/2014/main" id="{71A4CF7A-18F8-4FA3-8CC6-1C6B5FF3787D}"/>
            </a:ext>
          </a:extLst>
        </xdr:cNvPr>
        <xdr:cNvSpPr txBox="1">
          <a:spLocks noChangeArrowheads="1"/>
        </xdr:cNvSpPr>
      </xdr:nvSpPr>
      <xdr:spPr bwMode="auto">
        <a:xfrm>
          <a:off x="7226300" y="5847603"/>
          <a:ext cx="3181350" cy="488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53" name="Text Box 43" hidden="1">
          <a:extLst>
            <a:ext uri="{FF2B5EF4-FFF2-40B4-BE49-F238E27FC236}">
              <a16:creationId xmlns:a16="http://schemas.microsoft.com/office/drawing/2014/main" id="{896DB746-1F8B-4EB5-AA2D-6F38352B4123}"/>
            </a:ext>
          </a:extLst>
        </xdr:cNvPr>
        <xdr:cNvSpPr txBox="1">
          <a:spLocks noChangeArrowheads="1"/>
        </xdr:cNvSpPr>
      </xdr:nvSpPr>
      <xdr:spPr bwMode="auto">
        <a:xfrm>
          <a:off x="29229050" y="7561356"/>
          <a:ext cx="3733800" cy="48655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231215</xdr:rowOff>
    </xdr:from>
    <xdr:to>
      <xdr:col>7</xdr:col>
      <xdr:colOff>0</xdr:colOff>
      <xdr:row>36</xdr:row>
      <xdr:rowOff>132603</xdr:rowOff>
    </xdr:to>
    <xdr:sp macro="" textlink="">
      <xdr:nvSpPr>
        <xdr:cNvPr id="254" name="Text Box 56" hidden="1">
          <a:extLst>
            <a:ext uri="{FF2B5EF4-FFF2-40B4-BE49-F238E27FC236}">
              <a16:creationId xmlns:a16="http://schemas.microsoft.com/office/drawing/2014/main" id="{8E53D0DC-BB94-4B94-BD90-07063316731E}"/>
            </a:ext>
          </a:extLst>
        </xdr:cNvPr>
        <xdr:cNvSpPr txBox="1">
          <a:spLocks noChangeArrowheads="1"/>
        </xdr:cNvSpPr>
      </xdr:nvSpPr>
      <xdr:spPr bwMode="auto">
        <a:xfrm>
          <a:off x="3136900" y="4625415"/>
          <a:ext cx="3473450" cy="48289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12</xdr:row>
      <xdr:rowOff>330947</xdr:rowOff>
    </xdr:from>
    <xdr:to>
      <xdr:col>27</xdr:col>
      <xdr:colOff>152400</xdr:colOff>
      <xdr:row>33</xdr:row>
      <xdr:rowOff>37353</xdr:rowOff>
    </xdr:to>
    <xdr:sp macro="" textlink="">
      <xdr:nvSpPr>
        <xdr:cNvPr id="255" name="Text Box 55" hidden="1">
          <a:extLst>
            <a:ext uri="{FF2B5EF4-FFF2-40B4-BE49-F238E27FC236}">
              <a16:creationId xmlns:a16="http://schemas.microsoft.com/office/drawing/2014/main" id="{0C25B2D0-5698-44EF-8C1E-0E361B28DDB3}"/>
            </a:ext>
          </a:extLst>
        </xdr:cNvPr>
        <xdr:cNvSpPr txBox="1">
          <a:spLocks noChangeArrowheads="1"/>
        </xdr:cNvSpPr>
      </xdr:nvSpPr>
      <xdr:spPr bwMode="auto">
        <a:xfrm>
          <a:off x="15894050" y="3690097"/>
          <a:ext cx="3282950" cy="4945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29</xdr:row>
      <xdr:rowOff>7097</xdr:rowOff>
    </xdr:from>
    <xdr:to>
      <xdr:col>27</xdr:col>
      <xdr:colOff>285750</xdr:colOff>
      <xdr:row>49</xdr:row>
      <xdr:rowOff>133350</xdr:rowOff>
    </xdr:to>
    <xdr:sp macro="" textlink="">
      <xdr:nvSpPr>
        <xdr:cNvPr id="256" name="Text Box 54" hidden="1">
          <a:extLst>
            <a:ext uri="{FF2B5EF4-FFF2-40B4-BE49-F238E27FC236}">
              <a16:creationId xmlns:a16="http://schemas.microsoft.com/office/drawing/2014/main" id="{D419BAFC-BFD3-404B-92D3-08C5DFE6A3CE}"/>
            </a:ext>
          </a:extLst>
        </xdr:cNvPr>
        <xdr:cNvSpPr txBox="1">
          <a:spLocks noChangeArrowheads="1"/>
        </xdr:cNvSpPr>
      </xdr:nvSpPr>
      <xdr:spPr bwMode="auto">
        <a:xfrm>
          <a:off x="15970250" y="7639797"/>
          <a:ext cx="3340100" cy="48062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191620</xdr:rowOff>
    </xdr:from>
    <xdr:to>
      <xdr:col>28</xdr:col>
      <xdr:colOff>152400</xdr:colOff>
      <xdr:row>49</xdr:row>
      <xdr:rowOff>1681</xdr:rowOff>
    </xdr:to>
    <xdr:sp macro="" textlink="">
      <xdr:nvSpPr>
        <xdr:cNvPr id="257" name="Text Box 53" hidden="1">
          <a:extLst>
            <a:ext uri="{FF2B5EF4-FFF2-40B4-BE49-F238E27FC236}">
              <a16:creationId xmlns:a16="http://schemas.microsoft.com/office/drawing/2014/main" id="{98F09F7D-6759-4972-A87A-E4740FF8612A}"/>
            </a:ext>
          </a:extLst>
        </xdr:cNvPr>
        <xdr:cNvSpPr txBox="1">
          <a:spLocks noChangeArrowheads="1"/>
        </xdr:cNvSpPr>
      </xdr:nvSpPr>
      <xdr:spPr bwMode="auto">
        <a:xfrm>
          <a:off x="16554450" y="7335370"/>
          <a:ext cx="3530600" cy="49789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xdr:row>
      <xdr:rowOff>330947</xdr:rowOff>
    </xdr:from>
    <xdr:to>
      <xdr:col>28</xdr:col>
      <xdr:colOff>152400</xdr:colOff>
      <xdr:row>33</xdr:row>
      <xdr:rowOff>56403</xdr:rowOff>
    </xdr:to>
    <xdr:sp macro="" textlink="">
      <xdr:nvSpPr>
        <xdr:cNvPr id="258" name="Text Box 52" hidden="1">
          <a:extLst>
            <a:ext uri="{FF2B5EF4-FFF2-40B4-BE49-F238E27FC236}">
              <a16:creationId xmlns:a16="http://schemas.microsoft.com/office/drawing/2014/main" id="{7F92C284-282F-4D6B-8732-B33222807819}"/>
            </a:ext>
          </a:extLst>
        </xdr:cNvPr>
        <xdr:cNvSpPr txBox="1">
          <a:spLocks noChangeArrowheads="1"/>
        </xdr:cNvSpPr>
      </xdr:nvSpPr>
      <xdr:spPr bwMode="auto">
        <a:xfrm>
          <a:off x="16554450" y="3690097"/>
          <a:ext cx="3530600" cy="49642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20</xdr:row>
      <xdr:rowOff>278653</xdr:rowOff>
    </xdr:from>
    <xdr:to>
      <xdr:col>13</xdr:col>
      <xdr:colOff>361950</xdr:colOff>
      <xdr:row>42</xdr:row>
      <xdr:rowOff>180975</xdr:rowOff>
    </xdr:to>
    <xdr:sp macro="" textlink="">
      <xdr:nvSpPr>
        <xdr:cNvPr id="259" name="Text Box 51" hidden="1">
          <a:extLst>
            <a:ext uri="{FF2B5EF4-FFF2-40B4-BE49-F238E27FC236}">
              <a16:creationId xmlns:a16="http://schemas.microsoft.com/office/drawing/2014/main" id="{7E03381D-EE35-48CF-9DA6-16119D58ADFE}"/>
            </a:ext>
          </a:extLst>
        </xdr:cNvPr>
        <xdr:cNvSpPr txBox="1">
          <a:spLocks noChangeArrowheads="1"/>
        </xdr:cNvSpPr>
      </xdr:nvSpPr>
      <xdr:spPr bwMode="auto">
        <a:xfrm>
          <a:off x="7226300" y="5847603"/>
          <a:ext cx="3181350" cy="488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28</xdr:row>
      <xdr:rowOff>169956</xdr:rowOff>
    </xdr:from>
    <xdr:to>
      <xdr:col>45</xdr:col>
      <xdr:colOff>76200</xdr:colOff>
      <xdr:row>49</xdr:row>
      <xdr:rowOff>114300</xdr:rowOff>
    </xdr:to>
    <xdr:sp macro="" textlink="">
      <xdr:nvSpPr>
        <xdr:cNvPr id="260" name="Text Box 50" hidden="1">
          <a:extLst>
            <a:ext uri="{FF2B5EF4-FFF2-40B4-BE49-F238E27FC236}">
              <a16:creationId xmlns:a16="http://schemas.microsoft.com/office/drawing/2014/main" id="{8C161EA9-3376-43B1-A699-B6465EA8C4D1}"/>
            </a:ext>
          </a:extLst>
        </xdr:cNvPr>
        <xdr:cNvSpPr txBox="1">
          <a:spLocks noChangeArrowheads="1"/>
        </xdr:cNvSpPr>
      </xdr:nvSpPr>
      <xdr:spPr bwMode="auto">
        <a:xfrm>
          <a:off x="29229050" y="7561356"/>
          <a:ext cx="3733800" cy="48655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106892</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84032</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68792</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68792</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86995</xdr:rowOff>
    </xdr:from>
    <xdr:to>
      <xdr:col>3</xdr:col>
      <xdr:colOff>609600</xdr:colOff>
      <xdr:row>24</xdr:row>
      <xdr:rowOff>164042</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298016</xdr:colOff>
      <xdr:row>63</xdr:row>
      <xdr:rowOff>50074</xdr:rowOff>
    </xdr:from>
    <xdr:to>
      <xdr:col>37</xdr:col>
      <xdr:colOff>511440</xdr:colOff>
      <xdr:row>63</xdr:row>
      <xdr:rowOff>50074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63</xdr:row>
      <xdr:rowOff>50074</xdr:rowOff>
    </xdr:from>
    <xdr:to>
      <xdr:col>37</xdr:col>
      <xdr:colOff>351196</xdr:colOff>
      <xdr:row>64</xdr:row>
      <xdr:rowOff>144930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74</xdr:row>
      <xdr:rowOff>87671</xdr:rowOff>
    </xdr:from>
    <xdr:to>
      <xdr:col>37</xdr:col>
      <xdr:colOff>351196</xdr:colOff>
      <xdr:row>74</xdr:row>
      <xdr:rowOff>87671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74</xdr:row>
      <xdr:rowOff>87671</xdr:rowOff>
    </xdr:from>
    <xdr:to>
      <xdr:col>37</xdr:col>
      <xdr:colOff>427396</xdr:colOff>
      <xdr:row>74</xdr:row>
      <xdr:rowOff>87671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63</xdr:row>
      <xdr:rowOff>50074</xdr:rowOff>
    </xdr:from>
    <xdr:to>
      <xdr:col>37</xdr:col>
      <xdr:colOff>427396</xdr:colOff>
      <xdr:row>63</xdr:row>
      <xdr:rowOff>50074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4088366</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4088366</xdr:colOff>
      <xdr:row>14</xdr:row>
      <xdr:rowOff>8626</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106511</xdr:rowOff>
    </xdr:from>
    <xdr:to>
      <xdr:col>1</xdr:col>
      <xdr:colOff>4088366</xdr:colOff>
      <xdr:row>16</xdr:row>
      <xdr:rowOff>10737</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45</xdr:row>
      <xdr:rowOff>144430</xdr:rowOff>
    </xdr:from>
    <xdr:to>
      <xdr:col>37</xdr:col>
      <xdr:colOff>511440</xdr:colOff>
      <xdr:row>45</xdr:row>
      <xdr:rowOff>144430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144430</xdr:rowOff>
    </xdr:from>
    <xdr:to>
      <xdr:col>37</xdr:col>
      <xdr:colOff>351196</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336488</xdr:rowOff>
    </xdr:from>
    <xdr:to>
      <xdr:col>37</xdr:col>
      <xdr:colOff>351196</xdr:colOff>
      <xdr:row>52</xdr:row>
      <xdr:rowOff>336488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52</xdr:row>
      <xdr:rowOff>336488</xdr:rowOff>
    </xdr:from>
    <xdr:to>
      <xdr:col>37</xdr:col>
      <xdr:colOff>427396</xdr:colOff>
      <xdr:row>52</xdr:row>
      <xdr:rowOff>336488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45</xdr:row>
      <xdr:rowOff>144430</xdr:rowOff>
    </xdr:from>
    <xdr:to>
      <xdr:col>37</xdr:col>
      <xdr:colOff>427396</xdr:colOff>
      <xdr:row>45</xdr:row>
      <xdr:rowOff>144430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4088366</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4088366</xdr:colOff>
      <xdr:row>14</xdr:row>
      <xdr:rowOff>8626</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106511</xdr:rowOff>
    </xdr:from>
    <xdr:to>
      <xdr:col>1</xdr:col>
      <xdr:colOff>4088366</xdr:colOff>
      <xdr:row>16</xdr:row>
      <xdr:rowOff>10737</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67668</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85769</xdr:rowOff>
    </xdr:from>
    <xdr:to>
      <xdr:col>37</xdr:col>
      <xdr:colOff>332548</xdr:colOff>
      <xdr:row>49</xdr:row>
      <xdr:rowOff>45365</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85769</xdr:rowOff>
    </xdr:from>
    <xdr:to>
      <xdr:col>37</xdr:col>
      <xdr:colOff>408748</xdr:colOff>
      <xdr:row>49</xdr:row>
      <xdr:rowOff>45365</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67668</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85769</xdr:rowOff>
    </xdr:from>
    <xdr:to>
      <xdr:col>37</xdr:col>
      <xdr:colOff>332548</xdr:colOff>
      <xdr:row>49</xdr:row>
      <xdr:rowOff>45365</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85769</xdr:rowOff>
    </xdr:from>
    <xdr:to>
      <xdr:col>37</xdr:col>
      <xdr:colOff>408748</xdr:colOff>
      <xdr:row>49</xdr:row>
      <xdr:rowOff>45365</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82988</xdr:rowOff>
    </xdr:from>
    <xdr:to>
      <xdr:col>37</xdr:col>
      <xdr:colOff>408748</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82988</xdr:rowOff>
    </xdr:from>
    <xdr:to>
      <xdr:col>37</xdr:col>
      <xdr:colOff>408748</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789782</xdr:rowOff>
    </xdr:from>
    <xdr:to>
      <xdr:col>37</xdr:col>
      <xdr:colOff>507397</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48</xdr:row>
      <xdr:rowOff>82988</xdr:rowOff>
    </xdr:from>
    <xdr:to>
      <xdr:col>37</xdr:col>
      <xdr:colOff>408748</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789782</xdr:rowOff>
    </xdr:from>
    <xdr:to>
      <xdr:col>37</xdr:col>
      <xdr:colOff>408748</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507397</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39</xdr:row>
      <xdr:rowOff>923168</xdr:rowOff>
    </xdr:from>
    <xdr:to>
      <xdr:col>37</xdr:col>
      <xdr:colOff>296353</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47</xdr:row>
      <xdr:rowOff>191203</xdr:rowOff>
    </xdr:from>
    <xdr:to>
      <xdr:col>37</xdr:col>
      <xdr:colOff>296353</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47</xdr:row>
      <xdr:rowOff>191203</xdr:rowOff>
    </xdr:from>
    <xdr:to>
      <xdr:col>37</xdr:col>
      <xdr:colOff>372553</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372553</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22</xdr:row>
      <xdr:rowOff>145423</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10</xdr:row>
      <xdr:rowOff>218682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6783</xdr:rowOff>
    </xdr:from>
    <xdr:to>
      <xdr:col>18</xdr:col>
      <xdr:colOff>466459</xdr:colOff>
      <xdr:row>28</xdr:row>
      <xdr:rowOff>144614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507397</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39</xdr:row>
      <xdr:rowOff>923168</xdr:rowOff>
    </xdr:from>
    <xdr:to>
      <xdr:col>37</xdr:col>
      <xdr:colOff>296353</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47</xdr:row>
      <xdr:rowOff>191203</xdr:rowOff>
    </xdr:from>
    <xdr:to>
      <xdr:col>37</xdr:col>
      <xdr:colOff>296353</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47</xdr:row>
      <xdr:rowOff>191203</xdr:rowOff>
    </xdr:from>
    <xdr:to>
      <xdr:col>37</xdr:col>
      <xdr:colOff>372553</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372553</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22</xdr:row>
      <xdr:rowOff>145423</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10</xdr:row>
      <xdr:rowOff>218682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6783</xdr:rowOff>
    </xdr:from>
    <xdr:to>
      <xdr:col>18</xdr:col>
      <xdr:colOff>466459</xdr:colOff>
      <xdr:row>28</xdr:row>
      <xdr:rowOff>144614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507397</xdr:colOff>
      <xdr:row>57</xdr:row>
      <xdr:rowOff>27172</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126404</xdr:rowOff>
    </xdr:from>
    <xdr:to>
      <xdr:col>37</xdr:col>
      <xdr:colOff>296353</xdr:colOff>
      <xdr:row>66</xdr:row>
      <xdr:rowOff>8337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65139</xdr:rowOff>
    </xdr:from>
    <xdr:to>
      <xdr:col>37</xdr:col>
      <xdr:colOff>296353</xdr:colOff>
      <xdr:row>62</xdr:row>
      <xdr:rowOff>65139</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65139</xdr:rowOff>
    </xdr:from>
    <xdr:to>
      <xdr:col>37</xdr:col>
      <xdr:colOff>372553</xdr:colOff>
      <xdr:row>62</xdr:row>
      <xdr:rowOff>65139</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372553</xdr:colOff>
      <xdr:row>57</xdr:row>
      <xdr:rowOff>27172</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466459</xdr:colOff>
      <xdr:row>36</xdr:row>
      <xdr:rowOff>7398</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507397</xdr:colOff>
      <xdr:row>57</xdr:row>
      <xdr:rowOff>27172</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126404</xdr:rowOff>
    </xdr:from>
    <xdr:to>
      <xdr:col>37</xdr:col>
      <xdr:colOff>296353</xdr:colOff>
      <xdr:row>66</xdr:row>
      <xdr:rowOff>8337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65139</xdr:rowOff>
    </xdr:from>
    <xdr:to>
      <xdr:col>37</xdr:col>
      <xdr:colOff>296353</xdr:colOff>
      <xdr:row>62</xdr:row>
      <xdr:rowOff>65139</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65139</xdr:rowOff>
    </xdr:from>
    <xdr:to>
      <xdr:col>37</xdr:col>
      <xdr:colOff>372553</xdr:colOff>
      <xdr:row>62</xdr:row>
      <xdr:rowOff>65139</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372553</xdr:colOff>
      <xdr:row>57</xdr:row>
      <xdr:rowOff>27172</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427724</xdr:colOff>
      <xdr:row>36</xdr:row>
      <xdr:rowOff>7398</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507397</xdr:colOff>
      <xdr:row>57</xdr:row>
      <xdr:rowOff>27172</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139935</xdr:rowOff>
    </xdr:from>
    <xdr:to>
      <xdr:col>37</xdr:col>
      <xdr:colOff>296353</xdr:colOff>
      <xdr:row>66</xdr:row>
      <xdr:rowOff>8337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65139</xdr:rowOff>
    </xdr:from>
    <xdr:to>
      <xdr:col>37</xdr:col>
      <xdr:colOff>296353</xdr:colOff>
      <xdr:row>62</xdr:row>
      <xdr:rowOff>65139</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65139</xdr:rowOff>
    </xdr:from>
    <xdr:to>
      <xdr:col>37</xdr:col>
      <xdr:colOff>372553</xdr:colOff>
      <xdr:row>62</xdr:row>
      <xdr:rowOff>65139</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372553</xdr:colOff>
      <xdr:row>57</xdr:row>
      <xdr:rowOff>27172</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430264</xdr:colOff>
      <xdr:row>36</xdr:row>
      <xdr:rowOff>7398</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507397</xdr:colOff>
      <xdr:row>57</xdr:row>
      <xdr:rowOff>27172</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139935</xdr:rowOff>
    </xdr:from>
    <xdr:to>
      <xdr:col>37</xdr:col>
      <xdr:colOff>296353</xdr:colOff>
      <xdr:row>66</xdr:row>
      <xdr:rowOff>8337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65139</xdr:rowOff>
    </xdr:from>
    <xdr:to>
      <xdr:col>37</xdr:col>
      <xdr:colOff>296353</xdr:colOff>
      <xdr:row>62</xdr:row>
      <xdr:rowOff>65139</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65139</xdr:rowOff>
    </xdr:from>
    <xdr:to>
      <xdr:col>37</xdr:col>
      <xdr:colOff>372553</xdr:colOff>
      <xdr:row>62</xdr:row>
      <xdr:rowOff>65139</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372553</xdr:colOff>
      <xdr:row>57</xdr:row>
      <xdr:rowOff>27172</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430264</xdr:colOff>
      <xdr:row>36</xdr:row>
      <xdr:rowOff>7398</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61</xdr:row>
      <xdr:rowOff>143507</xdr:rowOff>
    </xdr:from>
    <xdr:to>
      <xdr:col>40</xdr:col>
      <xdr:colOff>660335</xdr:colOff>
      <xdr:row>63</xdr:row>
      <xdr:rowOff>286681</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64</xdr:row>
      <xdr:rowOff>275470</xdr:rowOff>
    </xdr:from>
    <xdr:to>
      <xdr:col>40</xdr:col>
      <xdr:colOff>502631</xdr:colOff>
      <xdr:row>85</xdr:row>
      <xdr:rowOff>143974</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29992</xdr:rowOff>
    </xdr:from>
    <xdr:to>
      <xdr:col>37</xdr:col>
      <xdr:colOff>297330</xdr:colOff>
      <xdr:row>60</xdr:row>
      <xdr:rowOff>145235</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29992</xdr:rowOff>
    </xdr:from>
    <xdr:to>
      <xdr:col>37</xdr:col>
      <xdr:colOff>373530</xdr:colOff>
      <xdr:row>60</xdr:row>
      <xdr:rowOff>145235</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64</xdr:row>
      <xdr:rowOff>141891</xdr:rowOff>
    </xdr:from>
    <xdr:to>
      <xdr:col>40</xdr:col>
      <xdr:colOff>502631</xdr:colOff>
      <xdr:row>71</xdr:row>
      <xdr:rowOff>982</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29133</xdr:rowOff>
    </xdr:from>
    <xdr:to>
      <xdr:col>2</xdr:col>
      <xdr:colOff>629770</xdr:colOff>
      <xdr:row>32</xdr:row>
      <xdr:rowOff>200867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67493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32</xdr:row>
      <xdr:rowOff>209114</xdr:rowOff>
    </xdr:from>
    <xdr:to>
      <xdr:col>18</xdr:col>
      <xdr:colOff>469340</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86306</xdr:rowOff>
    </xdr:from>
    <xdr:to>
      <xdr:col>19</xdr:col>
      <xdr:colOff>1196</xdr:colOff>
      <xdr:row>39</xdr:row>
      <xdr:rowOff>486562</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79</xdr:row>
      <xdr:rowOff>9724</xdr:rowOff>
    </xdr:from>
    <xdr:to>
      <xdr:col>40</xdr:col>
      <xdr:colOff>647000</xdr:colOff>
      <xdr:row>82</xdr:row>
      <xdr:rowOff>145673</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84</xdr:row>
      <xdr:rowOff>69415</xdr:rowOff>
    </xdr:from>
    <xdr:to>
      <xdr:col>40</xdr:col>
      <xdr:colOff>502631</xdr:colOff>
      <xdr:row>114</xdr:row>
      <xdr:rowOff>76899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77</xdr:row>
      <xdr:rowOff>10348</xdr:rowOff>
    </xdr:from>
    <xdr:to>
      <xdr:col>37</xdr:col>
      <xdr:colOff>274470</xdr:colOff>
      <xdr:row>78</xdr:row>
      <xdr:rowOff>125456</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77</xdr:row>
      <xdr:rowOff>10348</xdr:rowOff>
    </xdr:from>
    <xdr:to>
      <xdr:col>37</xdr:col>
      <xdr:colOff>373530</xdr:colOff>
      <xdr:row>78</xdr:row>
      <xdr:rowOff>125456</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84</xdr:row>
      <xdr:rowOff>69415</xdr:rowOff>
    </xdr:from>
    <xdr:to>
      <xdr:col>40</xdr:col>
      <xdr:colOff>502631</xdr:colOff>
      <xdr:row>91</xdr:row>
      <xdr:rowOff>113924</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87332</xdr:rowOff>
    </xdr:from>
    <xdr:to>
      <xdr:col>2</xdr:col>
      <xdr:colOff>629770</xdr:colOff>
      <xdr:row>39</xdr:row>
      <xdr:rowOff>429068</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885106</xdr:rowOff>
    </xdr:from>
    <xdr:to>
      <xdr:col>18</xdr:col>
      <xdr:colOff>456005</xdr:colOff>
      <xdr:row>61</xdr:row>
      <xdr:rowOff>182078</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14</xdr:row>
      <xdr:rowOff>160814</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16</xdr:row>
      <xdr:rowOff>124760</xdr:rowOff>
    </xdr:from>
    <xdr:to>
      <xdr:col>2</xdr:col>
      <xdr:colOff>629770</xdr:colOff>
      <xdr:row>20</xdr:row>
      <xdr:rowOff>46418</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41</xdr:row>
      <xdr:rowOff>123416</xdr:rowOff>
    </xdr:from>
    <xdr:to>
      <xdr:col>2</xdr:col>
      <xdr:colOff>629770</xdr:colOff>
      <xdr:row>45</xdr:row>
      <xdr:rowOff>48538</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43</xdr:row>
      <xdr:rowOff>63509</xdr:rowOff>
    </xdr:from>
    <xdr:to>
      <xdr:col>19</xdr:col>
      <xdr:colOff>18976</xdr:colOff>
      <xdr:row>47</xdr:row>
      <xdr:rowOff>86313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80</xdr:row>
      <xdr:rowOff>28868</xdr:rowOff>
    </xdr:from>
    <xdr:to>
      <xdr:col>40</xdr:col>
      <xdr:colOff>647000</xdr:colOff>
      <xdr:row>83</xdr:row>
      <xdr:rowOff>132927</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85</xdr:row>
      <xdr:rowOff>10705</xdr:rowOff>
    </xdr:from>
    <xdr:to>
      <xdr:col>40</xdr:col>
      <xdr:colOff>524856</xdr:colOff>
      <xdr:row>116</xdr:row>
      <xdr:rowOff>86644</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77</xdr:row>
      <xdr:rowOff>162761</xdr:rowOff>
    </xdr:from>
    <xdr:to>
      <xdr:col>37</xdr:col>
      <xdr:colOff>278280</xdr:colOff>
      <xdr:row>79</xdr:row>
      <xdr:rowOff>85850</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77</xdr:row>
      <xdr:rowOff>162761</xdr:rowOff>
    </xdr:from>
    <xdr:to>
      <xdr:col>37</xdr:col>
      <xdr:colOff>373530</xdr:colOff>
      <xdr:row>79</xdr:row>
      <xdr:rowOff>85850</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85</xdr:row>
      <xdr:rowOff>10705</xdr:rowOff>
    </xdr:from>
    <xdr:to>
      <xdr:col>40</xdr:col>
      <xdr:colOff>524856</xdr:colOff>
      <xdr:row>92</xdr:row>
      <xdr:rowOff>124289</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84792</xdr:rowOff>
    </xdr:from>
    <xdr:to>
      <xdr:col>2</xdr:col>
      <xdr:colOff>629770</xdr:colOff>
      <xdr:row>39</xdr:row>
      <xdr:rowOff>429068</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845015</xdr:rowOff>
    </xdr:from>
    <xdr:to>
      <xdr:col>18</xdr:col>
      <xdr:colOff>450290</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161449</xdr:rowOff>
    </xdr:from>
    <xdr:to>
      <xdr:col>2</xdr:col>
      <xdr:colOff>629770</xdr:colOff>
      <xdr:row>18</xdr:row>
      <xdr:rowOff>30335</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124760</xdr:rowOff>
    </xdr:from>
    <xdr:to>
      <xdr:col>2</xdr:col>
      <xdr:colOff>629770</xdr:colOff>
      <xdr:row>20</xdr:row>
      <xdr:rowOff>8047</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39</xdr:row>
      <xdr:rowOff>1048857</xdr:rowOff>
    </xdr:from>
    <xdr:to>
      <xdr:col>2</xdr:col>
      <xdr:colOff>639295</xdr:colOff>
      <xdr:row>44</xdr:row>
      <xdr:rowOff>25756</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44</xdr:row>
      <xdr:rowOff>107405</xdr:rowOff>
    </xdr:from>
    <xdr:to>
      <xdr:col>19</xdr:col>
      <xdr:colOff>6911</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68</xdr:row>
      <xdr:rowOff>1957</xdr:rowOff>
    </xdr:from>
    <xdr:to>
      <xdr:col>40</xdr:col>
      <xdr:colOff>647000</xdr:colOff>
      <xdr:row>72</xdr:row>
      <xdr:rowOff>125596</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21070</xdr:rowOff>
    </xdr:from>
    <xdr:to>
      <xdr:col>40</xdr:col>
      <xdr:colOff>502631</xdr:colOff>
      <xdr:row>101</xdr:row>
      <xdr:rowOff>28447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66</xdr:row>
      <xdr:rowOff>69351</xdr:rowOff>
    </xdr:from>
    <xdr:to>
      <xdr:col>37</xdr:col>
      <xdr:colOff>278280</xdr:colOff>
      <xdr:row>68</xdr:row>
      <xdr:rowOff>69436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66</xdr:row>
      <xdr:rowOff>69351</xdr:rowOff>
    </xdr:from>
    <xdr:to>
      <xdr:col>37</xdr:col>
      <xdr:colOff>373530</xdr:colOff>
      <xdr:row>68</xdr:row>
      <xdr:rowOff>69436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21070</xdr:rowOff>
    </xdr:from>
    <xdr:to>
      <xdr:col>40</xdr:col>
      <xdr:colOff>502631</xdr:colOff>
      <xdr:row>78</xdr:row>
      <xdr:rowOff>113690</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84792</xdr:rowOff>
    </xdr:from>
    <xdr:to>
      <xdr:col>2</xdr:col>
      <xdr:colOff>629770</xdr:colOff>
      <xdr:row>39</xdr:row>
      <xdr:rowOff>429068</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845015</xdr:rowOff>
    </xdr:from>
    <xdr:to>
      <xdr:col>18</xdr:col>
      <xdr:colOff>450290</xdr:colOff>
      <xdr:row>61</xdr:row>
      <xdr:rowOff>171507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161449</xdr:rowOff>
    </xdr:from>
    <xdr:to>
      <xdr:col>2</xdr:col>
      <xdr:colOff>629770</xdr:colOff>
      <xdr:row>18</xdr:row>
      <xdr:rowOff>30335</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124760</xdr:rowOff>
    </xdr:from>
    <xdr:to>
      <xdr:col>2</xdr:col>
      <xdr:colOff>629770</xdr:colOff>
      <xdr:row>20</xdr:row>
      <xdr:rowOff>8047</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69387</xdr:rowOff>
    </xdr:from>
    <xdr:to>
      <xdr:col>40</xdr:col>
      <xdr:colOff>647000</xdr:colOff>
      <xdr:row>60</xdr:row>
      <xdr:rowOff>106062</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140310</xdr:rowOff>
    </xdr:from>
    <xdr:to>
      <xdr:col>40</xdr:col>
      <xdr:colOff>502631</xdr:colOff>
      <xdr:row>79</xdr:row>
      <xdr:rowOff>151846</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140310</xdr:rowOff>
    </xdr:from>
    <xdr:to>
      <xdr:col>40</xdr:col>
      <xdr:colOff>502631</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65804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29806</xdr:rowOff>
    </xdr:from>
    <xdr:to>
      <xdr:col>40</xdr:col>
      <xdr:colOff>647000</xdr:colOff>
      <xdr:row>60</xdr:row>
      <xdr:rowOff>106062</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79</xdr:row>
      <xdr:rowOff>144226</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59</xdr:row>
      <xdr:rowOff>180986</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86759</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29806</xdr:rowOff>
    </xdr:from>
    <xdr:to>
      <xdr:col>40</xdr:col>
      <xdr:colOff>647000</xdr:colOff>
      <xdr:row>60</xdr:row>
      <xdr:rowOff>106062</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79</xdr:row>
      <xdr:rowOff>144226</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59</xdr:row>
      <xdr:rowOff>180986</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86759</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65</xdr:row>
      <xdr:rowOff>78377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86</xdr:row>
      <xdr:rowOff>142920</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64</xdr:row>
      <xdr:rowOff>274379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65</xdr:row>
      <xdr:rowOff>78377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86</xdr:row>
      <xdr:rowOff>142920</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64</xdr:row>
      <xdr:rowOff>274379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65</xdr:row>
      <xdr:rowOff>78377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86</xdr:row>
      <xdr:rowOff>142920</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64</xdr:row>
      <xdr:rowOff>274379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65</xdr:row>
      <xdr:rowOff>78377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86</xdr:row>
      <xdr:rowOff>142920</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64</xdr:row>
      <xdr:rowOff>254059</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65</xdr:row>
      <xdr:rowOff>78377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86</xdr:row>
      <xdr:rowOff>142920</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64</xdr:row>
      <xdr:rowOff>254059</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65</xdr:row>
      <xdr:rowOff>78377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86</xdr:row>
      <xdr:rowOff>142920</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64</xdr:row>
      <xdr:rowOff>254059</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65</xdr:row>
      <xdr:rowOff>78377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86</xdr:row>
      <xdr:rowOff>142920</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64</xdr:row>
      <xdr:rowOff>254059</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143798</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79</xdr:row>
      <xdr:rowOff>124429</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124895</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67448</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79</xdr:row>
      <xdr:rowOff>124429</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79</xdr:row>
      <xdr:rowOff>124429</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79</xdr:row>
      <xdr:rowOff>124429</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75762</xdr:rowOff>
    </xdr:from>
    <xdr:to>
      <xdr:col>2</xdr:col>
      <xdr:colOff>629770</xdr:colOff>
      <xdr:row>24</xdr:row>
      <xdr:rowOff>25898</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161937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23</xdr:row>
      <xdr:rowOff>12461</xdr:rowOff>
    </xdr:from>
    <xdr:to>
      <xdr:col>18</xdr:col>
      <xdr:colOff>431240</xdr:colOff>
      <xdr:row>47</xdr:row>
      <xdr:rowOff>45160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20</xdr:row>
      <xdr:rowOff>125457</xdr:rowOff>
    </xdr:from>
    <xdr:to>
      <xdr:col>2</xdr:col>
      <xdr:colOff>496420</xdr:colOff>
      <xdr:row>24</xdr:row>
      <xdr:rowOff>6848</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124601</xdr:rowOff>
    </xdr:from>
    <xdr:to>
      <xdr:col>2</xdr:col>
      <xdr:colOff>629770</xdr:colOff>
      <xdr:row>22</xdr:row>
      <xdr:rowOff>144973</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124601</xdr:rowOff>
    </xdr:from>
    <xdr:to>
      <xdr:col>2</xdr:col>
      <xdr:colOff>629770</xdr:colOff>
      <xdr:row>22</xdr:row>
      <xdr:rowOff>144973</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152554</xdr:rowOff>
    </xdr:from>
    <xdr:to>
      <xdr:col>2</xdr:col>
      <xdr:colOff>629770</xdr:colOff>
      <xdr:row>22</xdr:row>
      <xdr:rowOff>144973</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130329</xdr:rowOff>
    </xdr:from>
    <xdr:to>
      <xdr:col>2</xdr:col>
      <xdr:colOff>629770</xdr:colOff>
      <xdr:row>22</xdr:row>
      <xdr:rowOff>144973</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130329</xdr:rowOff>
    </xdr:from>
    <xdr:to>
      <xdr:col>2</xdr:col>
      <xdr:colOff>629770</xdr:colOff>
      <xdr:row>22</xdr:row>
      <xdr:rowOff>144973</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9298</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123218</xdr:rowOff>
    </xdr:from>
    <xdr:to>
      <xdr:col>2</xdr:col>
      <xdr:colOff>629770</xdr:colOff>
      <xdr:row>34</xdr:row>
      <xdr:rowOff>159306</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12422</xdr:rowOff>
    </xdr:from>
    <xdr:to>
      <xdr:col>21</xdr:col>
      <xdr:colOff>492498</xdr:colOff>
      <xdr:row>44</xdr:row>
      <xdr:rowOff>46254</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123218</xdr:rowOff>
    </xdr:from>
    <xdr:to>
      <xdr:col>2</xdr:col>
      <xdr:colOff>629770</xdr:colOff>
      <xdr:row>34</xdr:row>
      <xdr:rowOff>140256</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12422</xdr:rowOff>
    </xdr:from>
    <xdr:to>
      <xdr:col>21</xdr:col>
      <xdr:colOff>492498</xdr:colOff>
      <xdr:row>44</xdr:row>
      <xdr:rowOff>46254</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639295</xdr:colOff>
      <xdr:row>23</xdr:row>
      <xdr:rowOff>104573</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750123</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142875</xdr:rowOff>
    </xdr:from>
    <xdr:to>
      <xdr:col>24</xdr:col>
      <xdr:colOff>473449</xdr:colOff>
      <xdr:row>13</xdr:row>
      <xdr:rowOff>25742</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26021</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254135</xdr:rowOff>
    </xdr:from>
    <xdr:to>
      <xdr:col>2</xdr:col>
      <xdr:colOff>636120</xdr:colOff>
      <xdr:row>26</xdr:row>
      <xdr:rowOff>165013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2</xdr:col>
      <xdr:colOff>629770</xdr:colOff>
      <xdr:row>24</xdr:row>
      <xdr:rowOff>84916</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297330</xdr:rowOff>
    </xdr:from>
    <xdr:to>
      <xdr:col>2</xdr:col>
      <xdr:colOff>629770</xdr:colOff>
      <xdr:row>36</xdr:row>
      <xdr:rowOff>6599</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163107</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617257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144495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30</xdr:row>
      <xdr:rowOff>84730</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278280</xdr:rowOff>
    </xdr:from>
    <xdr:to>
      <xdr:col>6</xdr:col>
      <xdr:colOff>66301</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30</xdr:row>
      <xdr:rowOff>30755</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31</xdr:row>
      <xdr:rowOff>28015</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30</xdr:row>
      <xdr:rowOff>30755</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31</xdr:row>
      <xdr:rowOff>28015</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30</xdr:row>
      <xdr:rowOff>30755</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20</xdr:row>
      <xdr:rowOff>182407</xdr:rowOff>
    </xdr:from>
    <xdr:to>
      <xdr:col>6</xdr:col>
      <xdr:colOff>513976</xdr:colOff>
      <xdr:row>41</xdr:row>
      <xdr:rowOff>83608</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45820</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34</xdr:row>
      <xdr:rowOff>139762</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95562</xdr:rowOff>
    </xdr:from>
    <xdr:to>
      <xdr:col>6</xdr:col>
      <xdr:colOff>513976</xdr:colOff>
      <xdr:row>49</xdr:row>
      <xdr:rowOff>124759</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20</xdr:row>
      <xdr:rowOff>182407</xdr:rowOff>
    </xdr:from>
    <xdr:to>
      <xdr:col>6</xdr:col>
      <xdr:colOff>513976</xdr:colOff>
      <xdr:row>41</xdr:row>
      <xdr:rowOff>83608</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45820</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34</xdr:row>
      <xdr:rowOff>139762</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95562</xdr:rowOff>
    </xdr:from>
    <xdr:to>
      <xdr:col>6</xdr:col>
      <xdr:colOff>513976</xdr:colOff>
      <xdr:row>49</xdr:row>
      <xdr:rowOff>124759</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20</xdr:row>
      <xdr:rowOff>152984</xdr:rowOff>
    </xdr:from>
    <xdr:to>
      <xdr:col>3</xdr:col>
      <xdr:colOff>488587</xdr:colOff>
      <xdr:row>22</xdr:row>
      <xdr:rowOff>274611</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20</xdr:row>
      <xdr:rowOff>152984</xdr:rowOff>
    </xdr:from>
    <xdr:to>
      <xdr:col>3</xdr:col>
      <xdr:colOff>488587</xdr:colOff>
      <xdr:row>22</xdr:row>
      <xdr:rowOff>274611</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117449</xdr:rowOff>
    </xdr:from>
    <xdr:to>
      <xdr:col>4</xdr:col>
      <xdr:colOff>0</xdr:colOff>
      <xdr:row>22</xdr:row>
      <xdr:rowOff>229737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117449</xdr:rowOff>
    </xdr:from>
    <xdr:to>
      <xdr:col>4</xdr:col>
      <xdr:colOff>0</xdr:colOff>
      <xdr:row>22</xdr:row>
      <xdr:rowOff>229737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117449</xdr:rowOff>
    </xdr:from>
    <xdr:to>
      <xdr:col>4</xdr:col>
      <xdr:colOff>0</xdr:colOff>
      <xdr:row>22</xdr:row>
      <xdr:rowOff>229737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85073</xdr:rowOff>
    </xdr:from>
    <xdr:to>
      <xdr:col>4</xdr:col>
      <xdr:colOff>0</xdr:colOff>
      <xdr:row>22</xdr:row>
      <xdr:rowOff>229737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75099</xdr:rowOff>
    </xdr:from>
    <xdr:to>
      <xdr:col>4</xdr:col>
      <xdr:colOff>0</xdr:colOff>
      <xdr:row>22</xdr:row>
      <xdr:rowOff>229737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37883</xdr:rowOff>
    </xdr:from>
    <xdr:to>
      <xdr:col>4</xdr:col>
      <xdr:colOff>0</xdr:colOff>
      <xdr:row>23</xdr:row>
      <xdr:rowOff>339601</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37883</xdr:rowOff>
    </xdr:from>
    <xdr:to>
      <xdr:col>4</xdr:col>
      <xdr:colOff>0</xdr:colOff>
      <xdr:row>23</xdr:row>
      <xdr:rowOff>339601</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37883</xdr:rowOff>
    </xdr:from>
    <xdr:to>
      <xdr:col>4</xdr:col>
      <xdr:colOff>0</xdr:colOff>
      <xdr:row>23</xdr:row>
      <xdr:rowOff>339601</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37883</xdr:rowOff>
    </xdr:from>
    <xdr:to>
      <xdr:col>4</xdr:col>
      <xdr:colOff>0</xdr:colOff>
      <xdr:row>23</xdr:row>
      <xdr:rowOff>339601</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37883</xdr:rowOff>
    </xdr:from>
    <xdr:to>
      <xdr:col>4</xdr:col>
      <xdr:colOff>0</xdr:colOff>
      <xdr:row>23</xdr:row>
      <xdr:rowOff>339601</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37883</xdr:rowOff>
    </xdr:from>
    <xdr:to>
      <xdr:col>4</xdr:col>
      <xdr:colOff>0</xdr:colOff>
      <xdr:row>23</xdr:row>
      <xdr:rowOff>339601</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37883</xdr:rowOff>
    </xdr:from>
    <xdr:to>
      <xdr:col>4</xdr:col>
      <xdr:colOff>0</xdr:colOff>
      <xdr:row>23</xdr:row>
      <xdr:rowOff>339601</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31</xdr:row>
      <xdr:rowOff>101780</xdr:rowOff>
    </xdr:from>
    <xdr:to>
      <xdr:col>4</xdr:col>
      <xdr:colOff>0</xdr:colOff>
      <xdr:row>37</xdr:row>
      <xdr:rowOff>78052</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31</xdr:row>
      <xdr:rowOff>101780</xdr:rowOff>
    </xdr:from>
    <xdr:to>
      <xdr:col>4</xdr:col>
      <xdr:colOff>0</xdr:colOff>
      <xdr:row>37</xdr:row>
      <xdr:rowOff>78052</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151312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135904</xdr:rowOff>
    </xdr:from>
    <xdr:to>
      <xdr:col>4</xdr:col>
      <xdr:colOff>0</xdr:colOff>
      <xdr:row>33</xdr:row>
      <xdr:rowOff>132262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65898</xdr:rowOff>
    </xdr:from>
    <xdr:to>
      <xdr:col>4</xdr:col>
      <xdr:colOff>0</xdr:colOff>
      <xdr:row>27</xdr:row>
      <xdr:rowOff>918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23</xdr:row>
      <xdr:rowOff>386923</xdr:rowOff>
    </xdr:from>
    <xdr:to>
      <xdr:col>3</xdr:col>
      <xdr:colOff>609600</xdr:colOff>
      <xdr:row>27</xdr:row>
      <xdr:rowOff>175996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66957</xdr:rowOff>
    </xdr:from>
    <xdr:to>
      <xdr:col>4</xdr:col>
      <xdr:colOff>0</xdr:colOff>
      <xdr:row>27</xdr:row>
      <xdr:rowOff>1977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66957</xdr:rowOff>
    </xdr:from>
    <xdr:to>
      <xdr:col>4</xdr:col>
      <xdr:colOff>0</xdr:colOff>
      <xdr:row>27</xdr:row>
      <xdr:rowOff>1977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66957</xdr:rowOff>
    </xdr:from>
    <xdr:to>
      <xdr:col>4</xdr:col>
      <xdr:colOff>0</xdr:colOff>
      <xdr:row>27</xdr:row>
      <xdr:rowOff>1977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66603</xdr:rowOff>
    </xdr:from>
    <xdr:to>
      <xdr:col>4</xdr:col>
      <xdr:colOff>0</xdr:colOff>
      <xdr:row>26</xdr:row>
      <xdr:rowOff>157287</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19</xdr:row>
      <xdr:rowOff>370</xdr:rowOff>
    </xdr:from>
    <xdr:to>
      <xdr:col>24</xdr:col>
      <xdr:colOff>155575</xdr:colOff>
      <xdr:row>22</xdr:row>
      <xdr:rowOff>79898</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75212</xdr:rowOff>
    </xdr:from>
    <xdr:to>
      <xdr:col>4</xdr:col>
      <xdr:colOff>0</xdr:colOff>
      <xdr:row>26</xdr:row>
      <xdr:rowOff>157287</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19</xdr:row>
      <xdr:rowOff>370</xdr:rowOff>
    </xdr:from>
    <xdr:to>
      <xdr:col>24</xdr:col>
      <xdr:colOff>155575</xdr:colOff>
      <xdr:row>22</xdr:row>
      <xdr:rowOff>79898</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98425</xdr:colOff>
      <xdr:row>19</xdr:row>
      <xdr:rowOff>19420</xdr:rowOff>
    </xdr:from>
    <xdr:to>
      <xdr:col>23</xdr:col>
      <xdr:colOff>136525</xdr:colOff>
      <xdr:row>22</xdr:row>
      <xdr:rowOff>79898</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98425</xdr:colOff>
      <xdr:row>35</xdr:row>
      <xdr:rowOff>236789</xdr:rowOff>
    </xdr:from>
    <xdr:to>
      <xdr:col>23</xdr:col>
      <xdr:colOff>136525</xdr:colOff>
      <xdr:row>39</xdr:row>
      <xdr:rowOff>77906</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65898</xdr:rowOff>
    </xdr:from>
    <xdr:to>
      <xdr:col>4</xdr:col>
      <xdr:colOff>0</xdr:colOff>
      <xdr:row>26</xdr:row>
      <xdr:rowOff>157287</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117475</xdr:colOff>
      <xdr:row>21</xdr:row>
      <xdr:rowOff>153484</xdr:rowOff>
    </xdr:from>
    <xdr:to>
      <xdr:col>24</xdr:col>
      <xdr:colOff>117475</xdr:colOff>
      <xdr:row>23</xdr:row>
      <xdr:rowOff>402798</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65898</xdr:rowOff>
    </xdr:from>
    <xdr:to>
      <xdr:col>4</xdr:col>
      <xdr:colOff>0</xdr:colOff>
      <xdr:row>26</xdr:row>
      <xdr:rowOff>157287</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117475</xdr:colOff>
      <xdr:row>21</xdr:row>
      <xdr:rowOff>153484</xdr:rowOff>
    </xdr:from>
    <xdr:to>
      <xdr:col>24</xdr:col>
      <xdr:colOff>117475</xdr:colOff>
      <xdr:row>23</xdr:row>
      <xdr:rowOff>402798</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66957</xdr:rowOff>
    </xdr:from>
    <xdr:to>
      <xdr:col>4</xdr:col>
      <xdr:colOff>0</xdr:colOff>
      <xdr:row>26</xdr:row>
      <xdr:rowOff>157287</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298450</xdr:colOff>
      <xdr:row>35</xdr:row>
      <xdr:rowOff>236789</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199955</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199955</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199955</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199955</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199955</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199955</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199955</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199955</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199955</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199955</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199955</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32</xdr:row>
      <xdr:rowOff>206120</xdr:rowOff>
    </xdr:from>
    <xdr:to>
      <xdr:col>24</xdr:col>
      <xdr:colOff>288925</xdr:colOff>
      <xdr:row>35</xdr:row>
      <xdr:rowOff>236789</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5427</xdr:rowOff>
    </xdr:from>
    <xdr:to>
      <xdr:col>25</xdr:col>
      <xdr:colOff>155575</xdr:colOff>
      <xdr:row>35</xdr:row>
      <xdr:rowOff>42866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199955</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199955</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39</xdr:row>
      <xdr:rowOff>229319</xdr:rowOff>
    </xdr:from>
    <xdr:to>
      <xdr:col>24</xdr:col>
      <xdr:colOff>288925</xdr:colOff>
      <xdr:row>44</xdr:row>
      <xdr:rowOff>137147</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38</xdr:row>
      <xdr:rowOff>111214</xdr:rowOff>
    </xdr:from>
    <xdr:to>
      <xdr:col>25</xdr:col>
      <xdr:colOff>155575</xdr:colOff>
      <xdr:row>45</xdr:row>
      <xdr:rowOff>22667</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194663</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194663</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31</xdr:row>
      <xdr:rowOff>157204</xdr:rowOff>
    </xdr:from>
    <xdr:to>
      <xdr:col>3</xdr:col>
      <xdr:colOff>647700</xdr:colOff>
      <xdr:row>34</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36</xdr:row>
      <xdr:rowOff>194955</xdr:rowOff>
    </xdr:from>
    <xdr:to>
      <xdr:col>9</xdr:col>
      <xdr:colOff>368300</xdr:colOff>
      <xdr:row>40</xdr:row>
      <xdr:rowOff>7069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36</xdr:row>
      <xdr:rowOff>194955</xdr:rowOff>
    </xdr:from>
    <xdr:to>
      <xdr:col>10</xdr:col>
      <xdr:colOff>371475</xdr:colOff>
      <xdr:row>40</xdr:row>
      <xdr:rowOff>7069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194663</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194663</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194663</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194663</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194663</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194663</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194663</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25</xdr:row>
      <xdr:rowOff>156877</xdr:rowOff>
    </xdr:from>
    <xdr:to>
      <xdr:col>9</xdr:col>
      <xdr:colOff>368300</xdr:colOff>
      <xdr:row>29</xdr:row>
      <xdr:rowOff>194663</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213713</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213713</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213713</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213713</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4</xdr:col>
      <xdr:colOff>0</xdr:colOff>
      <xdr:row>26</xdr:row>
      <xdr:rowOff>138237</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24</xdr:col>
      <xdr:colOff>155575</xdr:colOff>
      <xdr:row>20</xdr:row>
      <xdr:rowOff>240365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24</xdr:col>
      <xdr:colOff>288925</xdr:colOff>
      <xdr:row>38</xdr:row>
      <xdr:rowOff>49775</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25</xdr:col>
      <xdr:colOff>155575</xdr:colOff>
      <xdr:row>38</xdr:row>
      <xdr:rowOff>166876</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25</xdr:col>
      <xdr:colOff>155575</xdr:colOff>
      <xdr:row>20</xdr:row>
      <xdr:rowOff>262590</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10</xdr:col>
      <xdr:colOff>371475</xdr:colOff>
      <xdr:row>29</xdr:row>
      <xdr:rowOff>213713</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118737</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43658</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83104</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288133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120418</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120418</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118737</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120418</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120418</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118737</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118737</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118737</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56933</xdr:rowOff>
    </xdr:from>
    <xdr:to>
      <xdr:col>7</xdr:col>
      <xdr:colOff>0</xdr:colOff>
      <xdr:row>41</xdr:row>
      <xdr:rowOff>131165</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79375</xdr:colOff>
      <xdr:row>18</xdr:row>
      <xdr:rowOff>7092</xdr:rowOff>
    </xdr:from>
    <xdr:to>
      <xdr:col>27</xdr:col>
      <xdr:colOff>155575</xdr:colOff>
      <xdr:row>38</xdr:row>
      <xdr:rowOff>49775</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155575</xdr:colOff>
      <xdr:row>34</xdr:row>
      <xdr:rowOff>22319</xdr:rowOff>
    </xdr:from>
    <xdr:to>
      <xdr:col>27</xdr:col>
      <xdr:colOff>288925</xdr:colOff>
      <xdr:row>54</xdr:row>
      <xdr:rowOff>250033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32</xdr:row>
      <xdr:rowOff>198712</xdr:rowOff>
    </xdr:from>
    <xdr:to>
      <xdr:col>28</xdr:col>
      <xdr:colOff>158750</xdr:colOff>
      <xdr:row>54</xdr:row>
      <xdr:rowOff>120418</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98425</xdr:colOff>
      <xdr:row>18</xdr:row>
      <xdr:rowOff>7092</xdr:rowOff>
    </xdr:from>
    <xdr:to>
      <xdr:col>28</xdr:col>
      <xdr:colOff>158750</xdr:colOff>
      <xdr:row>38</xdr:row>
      <xdr:rowOff>67823</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98425</xdr:colOff>
      <xdr:row>25</xdr:row>
      <xdr:rowOff>156877</xdr:rowOff>
    </xdr:from>
    <xdr:to>
      <xdr:col>13</xdr:col>
      <xdr:colOff>371475</xdr:colOff>
      <xdr:row>46</xdr:row>
      <xdr:rowOff>265771</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33</xdr:row>
      <xdr:rowOff>190594</xdr:rowOff>
    </xdr:from>
    <xdr:to>
      <xdr:col>45</xdr:col>
      <xdr:colOff>85725</xdr:colOff>
      <xdr:row>54</xdr:row>
      <xdr:rowOff>230983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486833</xdr:colOff>
      <xdr:row>21</xdr:row>
      <xdr:rowOff>105621</xdr:rowOff>
    </xdr:from>
    <xdr:to>
      <xdr:col>5</xdr:col>
      <xdr:colOff>48684</xdr:colOff>
      <xdr:row>24</xdr:row>
      <xdr:rowOff>105127</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486833</xdr:colOff>
      <xdr:row>21</xdr:row>
      <xdr:rowOff>105621</xdr:rowOff>
    </xdr:from>
    <xdr:to>
      <xdr:col>5</xdr:col>
      <xdr:colOff>48684</xdr:colOff>
      <xdr:row>24</xdr:row>
      <xdr:rowOff>105127</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22</xdr:row>
      <xdr:rowOff>57150</xdr:rowOff>
    </xdr:from>
    <xdr:to>
      <xdr:col>3</xdr:col>
      <xdr:colOff>492548</xdr:colOff>
      <xdr:row>26</xdr:row>
      <xdr:rowOff>6419</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467783</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467783</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467783</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467783</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49741</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315383</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503767</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12</xdr:col>
      <xdr:colOff>105833</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92</xdr:row>
      <xdr:rowOff>388815</xdr:rowOff>
    </xdr:from>
    <xdr:to>
      <xdr:col>8</xdr:col>
      <xdr:colOff>274913</xdr:colOff>
      <xdr:row>92</xdr:row>
      <xdr:rowOff>388815</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388815</xdr:rowOff>
    </xdr:from>
    <xdr:to>
      <xdr:col>11</xdr:col>
      <xdr:colOff>235329</xdr:colOff>
      <xdr:row>92</xdr:row>
      <xdr:rowOff>388815</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362174</xdr:rowOff>
    </xdr:from>
    <xdr:to>
      <xdr:col>1</xdr:col>
      <xdr:colOff>4255844</xdr:colOff>
      <xdr:row>55</xdr:row>
      <xdr:rowOff>102449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388815</xdr:rowOff>
    </xdr:from>
    <xdr:to>
      <xdr:col>8</xdr:col>
      <xdr:colOff>274913</xdr:colOff>
      <xdr:row>92</xdr:row>
      <xdr:rowOff>388815</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388815</xdr:rowOff>
    </xdr:from>
    <xdr:to>
      <xdr:col>11</xdr:col>
      <xdr:colOff>235329</xdr:colOff>
      <xdr:row>92</xdr:row>
      <xdr:rowOff>388815</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274504</xdr:rowOff>
    </xdr:from>
    <xdr:to>
      <xdr:col>8</xdr:col>
      <xdr:colOff>274913</xdr:colOff>
      <xdr:row>52</xdr:row>
      <xdr:rowOff>274504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274504</xdr:rowOff>
    </xdr:from>
    <xdr:to>
      <xdr:col>11</xdr:col>
      <xdr:colOff>235329</xdr:colOff>
      <xdr:row>52</xdr:row>
      <xdr:rowOff>274504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274504</xdr:rowOff>
    </xdr:from>
    <xdr:to>
      <xdr:col>8</xdr:col>
      <xdr:colOff>274913</xdr:colOff>
      <xdr:row>52</xdr:row>
      <xdr:rowOff>274504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274504</xdr:rowOff>
    </xdr:from>
    <xdr:to>
      <xdr:col>11</xdr:col>
      <xdr:colOff>235329</xdr:colOff>
      <xdr:row>52</xdr:row>
      <xdr:rowOff>274504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274504</xdr:rowOff>
    </xdr:from>
    <xdr:to>
      <xdr:col>8</xdr:col>
      <xdr:colOff>274913</xdr:colOff>
      <xdr:row>52</xdr:row>
      <xdr:rowOff>274504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274504</xdr:rowOff>
    </xdr:from>
    <xdr:to>
      <xdr:col>11</xdr:col>
      <xdr:colOff>235329</xdr:colOff>
      <xdr:row>52</xdr:row>
      <xdr:rowOff>274504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274504</xdr:rowOff>
    </xdr:from>
    <xdr:to>
      <xdr:col>8</xdr:col>
      <xdr:colOff>274913</xdr:colOff>
      <xdr:row>52</xdr:row>
      <xdr:rowOff>274504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274504</xdr:rowOff>
    </xdr:from>
    <xdr:to>
      <xdr:col>11</xdr:col>
      <xdr:colOff>235329</xdr:colOff>
      <xdr:row>52</xdr:row>
      <xdr:rowOff>274504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274504</xdr:rowOff>
    </xdr:from>
    <xdr:to>
      <xdr:col>8</xdr:col>
      <xdr:colOff>274913</xdr:colOff>
      <xdr:row>52</xdr:row>
      <xdr:rowOff>274504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274504</xdr:rowOff>
    </xdr:from>
    <xdr:to>
      <xdr:col>11</xdr:col>
      <xdr:colOff>235329</xdr:colOff>
      <xdr:row>52</xdr:row>
      <xdr:rowOff>274504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274504</xdr:rowOff>
    </xdr:from>
    <xdr:to>
      <xdr:col>8</xdr:col>
      <xdr:colOff>274913</xdr:colOff>
      <xdr:row>52</xdr:row>
      <xdr:rowOff>274504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274504</xdr:rowOff>
    </xdr:from>
    <xdr:to>
      <xdr:col>11</xdr:col>
      <xdr:colOff>235329</xdr:colOff>
      <xdr:row>52</xdr:row>
      <xdr:rowOff>274504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274504</xdr:rowOff>
    </xdr:from>
    <xdr:to>
      <xdr:col>8</xdr:col>
      <xdr:colOff>274913</xdr:colOff>
      <xdr:row>52</xdr:row>
      <xdr:rowOff>274504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274504</xdr:rowOff>
    </xdr:from>
    <xdr:to>
      <xdr:col>11</xdr:col>
      <xdr:colOff>235329</xdr:colOff>
      <xdr:row>52</xdr:row>
      <xdr:rowOff>274504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391658</xdr:rowOff>
    </xdr:from>
    <xdr:to>
      <xdr:col>8</xdr:col>
      <xdr:colOff>274913</xdr:colOff>
      <xdr:row>74</xdr:row>
      <xdr:rowOff>391658</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391658</xdr:rowOff>
    </xdr:from>
    <xdr:to>
      <xdr:col>11</xdr:col>
      <xdr:colOff>235329</xdr:colOff>
      <xdr:row>74</xdr:row>
      <xdr:rowOff>391658</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391658</xdr:rowOff>
    </xdr:from>
    <xdr:to>
      <xdr:col>8</xdr:col>
      <xdr:colOff>274913</xdr:colOff>
      <xdr:row>74</xdr:row>
      <xdr:rowOff>391658</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391658</xdr:rowOff>
    </xdr:from>
    <xdr:to>
      <xdr:col>11</xdr:col>
      <xdr:colOff>235329</xdr:colOff>
      <xdr:row>74</xdr:row>
      <xdr:rowOff>391658</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391658</xdr:rowOff>
    </xdr:from>
    <xdr:to>
      <xdr:col>8</xdr:col>
      <xdr:colOff>274913</xdr:colOff>
      <xdr:row>74</xdr:row>
      <xdr:rowOff>391658</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391658</xdr:rowOff>
    </xdr:from>
    <xdr:to>
      <xdr:col>11</xdr:col>
      <xdr:colOff>235329</xdr:colOff>
      <xdr:row>74</xdr:row>
      <xdr:rowOff>391658</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391658</xdr:rowOff>
    </xdr:from>
    <xdr:to>
      <xdr:col>8</xdr:col>
      <xdr:colOff>274913</xdr:colOff>
      <xdr:row>74</xdr:row>
      <xdr:rowOff>391658</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391658</xdr:rowOff>
    </xdr:from>
    <xdr:to>
      <xdr:col>11</xdr:col>
      <xdr:colOff>235329</xdr:colOff>
      <xdr:row>74</xdr:row>
      <xdr:rowOff>391658</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550681</xdr:rowOff>
    </xdr:from>
    <xdr:to>
      <xdr:col>8</xdr:col>
      <xdr:colOff>274913</xdr:colOff>
      <xdr:row>74</xdr:row>
      <xdr:rowOff>550681</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550681</xdr:rowOff>
    </xdr:from>
    <xdr:to>
      <xdr:col>11</xdr:col>
      <xdr:colOff>235329</xdr:colOff>
      <xdr:row>74</xdr:row>
      <xdr:rowOff>550681</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550681</xdr:rowOff>
    </xdr:from>
    <xdr:to>
      <xdr:col>8</xdr:col>
      <xdr:colOff>274913</xdr:colOff>
      <xdr:row>74</xdr:row>
      <xdr:rowOff>550681</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550681</xdr:rowOff>
    </xdr:from>
    <xdr:to>
      <xdr:col>11</xdr:col>
      <xdr:colOff>235329</xdr:colOff>
      <xdr:row>74</xdr:row>
      <xdr:rowOff>550681</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550681</xdr:rowOff>
    </xdr:from>
    <xdr:to>
      <xdr:col>8</xdr:col>
      <xdr:colOff>287976</xdr:colOff>
      <xdr:row>74</xdr:row>
      <xdr:rowOff>550681</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550681</xdr:rowOff>
    </xdr:from>
    <xdr:to>
      <xdr:col>11</xdr:col>
      <xdr:colOff>248392</xdr:colOff>
      <xdr:row>74</xdr:row>
      <xdr:rowOff>550681</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550681</xdr:rowOff>
    </xdr:from>
    <xdr:to>
      <xdr:col>8</xdr:col>
      <xdr:colOff>287976</xdr:colOff>
      <xdr:row>74</xdr:row>
      <xdr:rowOff>550681</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550681</xdr:rowOff>
    </xdr:from>
    <xdr:to>
      <xdr:col>11</xdr:col>
      <xdr:colOff>248392</xdr:colOff>
      <xdr:row>74</xdr:row>
      <xdr:rowOff>550681</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429569</xdr:rowOff>
    </xdr:from>
    <xdr:to>
      <xdr:col>8</xdr:col>
      <xdr:colOff>254321</xdr:colOff>
      <xdr:row>74</xdr:row>
      <xdr:rowOff>429569</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429569</xdr:rowOff>
    </xdr:from>
    <xdr:to>
      <xdr:col>11</xdr:col>
      <xdr:colOff>211562</xdr:colOff>
      <xdr:row>74</xdr:row>
      <xdr:rowOff>429569</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183365</xdr:rowOff>
    </xdr:from>
    <xdr:to>
      <xdr:col>19</xdr:col>
      <xdr:colOff>591292</xdr:colOff>
      <xdr:row>74</xdr:row>
      <xdr:rowOff>334121</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429569</xdr:rowOff>
    </xdr:from>
    <xdr:to>
      <xdr:col>8</xdr:col>
      <xdr:colOff>249876</xdr:colOff>
      <xdr:row>74</xdr:row>
      <xdr:rowOff>429569</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429569</xdr:rowOff>
    </xdr:from>
    <xdr:to>
      <xdr:col>11</xdr:col>
      <xdr:colOff>210292</xdr:colOff>
      <xdr:row>74</xdr:row>
      <xdr:rowOff>429569</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183365</xdr:rowOff>
    </xdr:from>
    <xdr:to>
      <xdr:col>19</xdr:col>
      <xdr:colOff>591292</xdr:colOff>
      <xdr:row>74</xdr:row>
      <xdr:rowOff>316976</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429569</xdr:rowOff>
    </xdr:from>
    <xdr:to>
      <xdr:col>8</xdr:col>
      <xdr:colOff>249876</xdr:colOff>
      <xdr:row>74</xdr:row>
      <xdr:rowOff>429569</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429569</xdr:rowOff>
    </xdr:from>
    <xdr:to>
      <xdr:col>11</xdr:col>
      <xdr:colOff>210292</xdr:colOff>
      <xdr:row>74</xdr:row>
      <xdr:rowOff>429569</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183365</xdr:rowOff>
    </xdr:from>
    <xdr:to>
      <xdr:col>19</xdr:col>
      <xdr:colOff>591292</xdr:colOff>
      <xdr:row>74</xdr:row>
      <xdr:rowOff>316976</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430146</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430146</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430146</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625728</xdr:rowOff>
    </xdr:from>
    <xdr:to>
      <xdr:col>8</xdr:col>
      <xdr:colOff>249876</xdr:colOff>
      <xdr:row>74</xdr:row>
      <xdr:rowOff>625728</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625728</xdr:rowOff>
    </xdr:from>
    <xdr:to>
      <xdr:col>11</xdr:col>
      <xdr:colOff>210292</xdr:colOff>
      <xdr:row>74</xdr:row>
      <xdr:rowOff>625728</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124566</xdr:rowOff>
    </xdr:from>
    <xdr:to>
      <xdr:col>19</xdr:col>
      <xdr:colOff>591292</xdr:colOff>
      <xdr:row>74</xdr:row>
      <xdr:rowOff>435226</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170388</xdr:rowOff>
    </xdr:from>
    <xdr:to>
      <xdr:col>8</xdr:col>
      <xdr:colOff>249876</xdr:colOff>
      <xdr:row>64</xdr:row>
      <xdr:rowOff>170388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170388</xdr:rowOff>
    </xdr:from>
    <xdr:to>
      <xdr:col>11</xdr:col>
      <xdr:colOff>210292</xdr:colOff>
      <xdr:row>64</xdr:row>
      <xdr:rowOff>170388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64</xdr:row>
      <xdr:rowOff>37157</xdr:rowOff>
    </xdr:from>
    <xdr:to>
      <xdr:col>19</xdr:col>
      <xdr:colOff>591292</xdr:colOff>
      <xdr:row>64</xdr:row>
      <xdr:rowOff>37157</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170388</xdr:rowOff>
    </xdr:from>
    <xdr:to>
      <xdr:col>8</xdr:col>
      <xdr:colOff>249876</xdr:colOff>
      <xdr:row>64</xdr:row>
      <xdr:rowOff>170388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170388</xdr:rowOff>
    </xdr:from>
    <xdr:to>
      <xdr:col>11</xdr:col>
      <xdr:colOff>210292</xdr:colOff>
      <xdr:row>64</xdr:row>
      <xdr:rowOff>170388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64</xdr:row>
      <xdr:rowOff>37157</xdr:rowOff>
    </xdr:from>
    <xdr:to>
      <xdr:col>19</xdr:col>
      <xdr:colOff>591292</xdr:colOff>
      <xdr:row>64</xdr:row>
      <xdr:rowOff>37157</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170388</xdr:rowOff>
    </xdr:from>
    <xdr:to>
      <xdr:col>8</xdr:col>
      <xdr:colOff>249876</xdr:colOff>
      <xdr:row>64</xdr:row>
      <xdr:rowOff>170388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170388</xdr:rowOff>
    </xdr:from>
    <xdr:to>
      <xdr:col>11</xdr:col>
      <xdr:colOff>210292</xdr:colOff>
      <xdr:row>64</xdr:row>
      <xdr:rowOff>170388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64</xdr:row>
      <xdr:rowOff>37157</xdr:rowOff>
    </xdr:from>
    <xdr:to>
      <xdr:col>19</xdr:col>
      <xdr:colOff>591292</xdr:colOff>
      <xdr:row>64</xdr:row>
      <xdr:rowOff>37157</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170388</xdr:rowOff>
    </xdr:from>
    <xdr:to>
      <xdr:col>8</xdr:col>
      <xdr:colOff>249876</xdr:colOff>
      <xdr:row>64</xdr:row>
      <xdr:rowOff>170388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170388</xdr:rowOff>
    </xdr:from>
    <xdr:to>
      <xdr:col>11</xdr:col>
      <xdr:colOff>210292</xdr:colOff>
      <xdr:row>64</xdr:row>
      <xdr:rowOff>170388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64</xdr:row>
      <xdr:rowOff>37157</xdr:rowOff>
    </xdr:from>
    <xdr:to>
      <xdr:col>19</xdr:col>
      <xdr:colOff>591292</xdr:colOff>
      <xdr:row>64</xdr:row>
      <xdr:rowOff>37157</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209107</xdr:rowOff>
    </xdr:from>
    <xdr:to>
      <xdr:col>8</xdr:col>
      <xdr:colOff>239774</xdr:colOff>
      <xdr:row>64</xdr:row>
      <xdr:rowOff>209107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209107</xdr:rowOff>
    </xdr:from>
    <xdr:to>
      <xdr:col>11</xdr:col>
      <xdr:colOff>200190</xdr:colOff>
      <xdr:row>64</xdr:row>
      <xdr:rowOff>209107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37547</xdr:rowOff>
    </xdr:from>
    <xdr:to>
      <xdr:col>2</xdr:col>
      <xdr:colOff>7093</xdr:colOff>
      <xdr:row>80</xdr:row>
      <xdr:rowOff>37547</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388917</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388917</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388917</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209107</xdr:rowOff>
    </xdr:from>
    <xdr:to>
      <xdr:col>8</xdr:col>
      <xdr:colOff>239774</xdr:colOff>
      <xdr:row>64</xdr:row>
      <xdr:rowOff>209107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209107</xdr:rowOff>
    </xdr:from>
    <xdr:to>
      <xdr:col>11</xdr:col>
      <xdr:colOff>200190</xdr:colOff>
      <xdr:row>64</xdr:row>
      <xdr:rowOff>209107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37547</xdr:rowOff>
    </xdr:from>
    <xdr:to>
      <xdr:col>2</xdr:col>
      <xdr:colOff>7093</xdr:colOff>
      <xdr:row>80</xdr:row>
      <xdr:rowOff>37547</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388917</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388917</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388917</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417793</xdr:rowOff>
    </xdr:from>
    <xdr:to>
      <xdr:col>8</xdr:col>
      <xdr:colOff>228600</xdr:colOff>
      <xdr:row>91</xdr:row>
      <xdr:rowOff>417793</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417793</xdr:rowOff>
    </xdr:from>
    <xdr:to>
      <xdr:col>11</xdr:col>
      <xdr:colOff>190500</xdr:colOff>
      <xdr:row>91</xdr:row>
      <xdr:rowOff>417793</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177</xdr:row>
      <xdr:rowOff>69164</xdr:rowOff>
    </xdr:from>
    <xdr:to>
      <xdr:col>1</xdr:col>
      <xdr:colOff>4724400</xdr:colOff>
      <xdr:row>177</xdr:row>
      <xdr:rowOff>107825</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106705</xdr:rowOff>
    </xdr:from>
    <xdr:to>
      <xdr:col>20</xdr:col>
      <xdr:colOff>647700</xdr:colOff>
      <xdr:row>90</xdr:row>
      <xdr:rowOff>322107</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106705</xdr:rowOff>
    </xdr:from>
    <xdr:to>
      <xdr:col>24</xdr:col>
      <xdr:colOff>647700</xdr:colOff>
      <xdr:row>90</xdr:row>
      <xdr:rowOff>322107</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106705</xdr:rowOff>
    </xdr:from>
    <xdr:to>
      <xdr:col>28</xdr:col>
      <xdr:colOff>647700</xdr:colOff>
      <xdr:row>90</xdr:row>
      <xdr:rowOff>322107</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234950</xdr:rowOff>
    </xdr:from>
    <xdr:to>
      <xdr:col>2</xdr:col>
      <xdr:colOff>685800</xdr:colOff>
      <xdr:row>54</xdr:row>
      <xdr:rowOff>305422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374152</xdr:rowOff>
    </xdr:from>
    <xdr:to>
      <xdr:col>21</xdr:col>
      <xdr:colOff>685800</xdr:colOff>
      <xdr:row>95</xdr:row>
      <xdr:rowOff>77570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374152</xdr:rowOff>
    </xdr:from>
    <xdr:to>
      <xdr:col>25</xdr:col>
      <xdr:colOff>685800</xdr:colOff>
      <xdr:row>95</xdr:row>
      <xdr:rowOff>77570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374152</xdr:rowOff>
    </xdr:from>
    <xdr:to>
      <xdr:col>29</xdr:col>
      <xdr:colOff>685800</xdr:colOff>
      <xdr:row>95</xdr:row>
      <xdr:rowOff>77570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417793</xdr:rowOff>
    </xdr:from>
    <xdr:to>
      <xdr:col>8</xdr:col>
      <xdr:colOff>228600</xdr:colOff>
      <xdr:row>91</xdr:row>
      <xdr:rowOff>417793</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417793</xdr:rowOff>
    </xdr:from>
    <xdr:to>
      <xdr:col>11</xdr:col>
      <xdr:colOff>190500</xdr:colOff>
      <xdr:row>91</xdr:row>
      <xdr:rowOff>417793</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177</xdr:row>
      <xdr:rowOff>69164</xdr:rowOff>
    </xdr:from>
    <xdr:to>
      <xdr:col>1</xdr:col>
      <xdr:colOff>4724400</xdr:colOff>
      <xdr:row>177</xdr:row>
      <xdr:rowOff>107825</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106705</xdr:rowOff>
    </xdr:from>
    <xdr:to>
      <xdr:col>20</xdr:col>
      <xdr:colOff>647700</xdr:colOff>
      <xdr:row>90</xdr:row>
      <xdr:rowOff>322107</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106705</xdr:rowOff>
    </xdr:from>
    <xdr:to>
      <xdr:col>24</xdr:col>
      <xdr:colOff>647700</xdr:colOff>
      <xdr:row>90</xdr:row>
      <xdr:rowOff>322107</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106705</xdr:rowOff>
    </xdr:from>
    <xdr:to>
      <xdr:col>28</xdr:col>
      <xdr:colOff>647700</xdr:colOff>
      <xdr:row>90</xdr:row>
      <xdr:rowOff>322107</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234950</xdr:rowOff>
    </xdr:from>
    <xdr:to>
      <xdr:col>2</xdr:col>
      <xdr:colOff>685800</xdr:colOff>
      <xdr:row>54</xdr:row>
      <xdr:rowOff>305422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374152</xdr:rowOff>
    </xdr:from>
    <xdr:to>
      <xdr:col>21</xdr:col>
      <xdr:colOff>685800</xdr:colOff>
      <xdr:row>95</xdr:row>
      <xdr:rowOff>77570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374152</xdr:rowOff>
    </xdr:from>
    <xdr:to>
      <xdr:col>25</xdr:col>
      <xdr:colOff>685800</xdr:colOff>
      <xdr:row>95</xdr:row>
      <xdr:rowOff>77570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374152</xdr:rowOff>
    </xdr:from>
    <xdr:to>
      <xdr:col>29</xdr:col>
      <xdr:colOff>685800</xdr:colOff>
      <xdr:row>95</xdr:row>
      <xdr:rowOff>77570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417793</xdr:rowOff>
    </xdr:from>
    <xdr:to>
      <xdr:col>8</xdr:col>
      <xdr:colOff>228600</xdr:colOff>
      <xdr:row>91</xdr:row>
      <xdr:rowOff>417793</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417793</xdr:rowOff>
    </xdr:from>
    <xdr:to>
      <xdr:col>11</xdr:col>
      <xdr:colOff>190500</xdr:colOff>
      <xdr:row>91</xdr:row>
      <xdr:rowOff>417793</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177</xdr:row>
      <xdr:rowOff>69164</xdr:rowOff>
    </xdr:from>
    <xdr:to>
      <xdr:col>1</xdr:col>
      <xdr:colOff>4724400</xdr:colOff>
      <xdr:row>177</xdr:row>
      <xdr:rowOff>107825</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106705</xdr:rowOff>
    </xdr:from>
    <xdr:to>
      <xdr:col>20</xdr:col>
      <xdr:colOff>647700</xdr:colOff>
      <xdr:row>90</xdr:row>
      <xdr:rowOff>322107</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106705</xdr:rowOff>
    </xdr:from>
    <xdr:to>
      <xdr:col>24</xdr:col>
      <xdr:colOff>647700</xdr:colOff>
      <xdr:row>90</xdr:row>
      <xdr:rowOff>322107</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106705</xdr:rowOff>
    </xdr:from>
    <xdr:to>
      <xdr:col>28</xdr:col>
      <xdr:colOff>647700</xdr:colOff>
      <xdr:row>90</xdr:row>
      <xdr:rowOff>322107</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234950</xdr:rowOff>
    </xdr:from>
    <xdr:to>
      <xdr:col>2</xdr:col>
      <xdr:colOff>685800</xdr:colOff>
      <xdr:row>54</xdr:row>
      <xdr:rowOff>305422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374152</xdr:rowOff>
    </xdr:from>
    <xdr:to>
      <xdr:col>21</xdr:col>
      <xdr:colOff>685800</xdr:colOff>
      <xdr:row>95</xdr:row>
      <xdr:rowOff>77570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374152</xdr:rowOff>
    </xdr:from>
    <xdr:to>
      <xdr:col>25</xdr:col>
      <xdr:colOff>685800</xdr:colOff>
      <xdr:row>95</xdr:row>
      <xdr:rowOff>77570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374152</xdr:rowOff>
    </xdr:from>
    <xdr:to>
      <xdr:col>29</xdr:col>
      <xdr:colOff>685800</xdr:colOff>
      <xdr:row>95</xdr:row>
      <xdr:rowOff>77570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96</xdr:row>
      <xdr:rowOff>74083</xdr:rowOff>
    </xdr:from>
    <xdr:to>
      <xdr:col>8</xdr:col>
      <xdr:colOff>228600</xdr:colOff>
      <xdr:row>96</xdr:row>
      <xdr:rowOff>74083</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96</xdr:row>
      <xdr:rowOff>74083</xdr:rowOff>
    </xdr:from>
    <xdr:to>
      <xdr:col>11</xdr:col>
      <xdr:colOff>190500</xdr:colOff>
      <xdr:row>96</xdr:row>
      <xdr:rowOff>74083</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45731</xdr:rowOff>
    </xdr:from>
    <xdr:to>
      <xdr:col>1</xdr:col>
      <xdr:colOff>4724400</xdr:colOff>
      <xdr:row>186</xdr:row>
      <xdr:rowOff>87841</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530848</xdr:rowOff>
    </xdr:from>
    <xdr:to>
      <xdr:col>20</xdr:col>
      <xdr:colOff>647700</xdr:colOff>
      <xdr:row>95</xdr:row>
      <xdr:rowOff>17992</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530848</xdr:rowOff>
    </xdr:from>
    <xdr:to>
      <xdr:col>24</xdr:col>
      <xdr:colOff>647700</xdr:colOff>
      <xdr:row>95</xdr:row>
      <xdr:rowOff>17992</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530848</xdr:rowOff>
    </xdr:from>
    <xdr:to>
      <xdr:col>28</xdr:col>
      <xdr:colOff>647700</xdr:colOff>
      <xdr:row>95</xdr:row>
      <xdr:rowOff>17992</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113863</xdr:rowOff>
    </xdr:from>
    <xdr:to>
      <xdr:col>2</xdr:col>
      <xdr:colOff>685800</xdr:colOff>
      <xdr:row>59</xdr:row>
      <xdr:rowOff>74083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78939</xdr:rowOff>
    </xdr:from>
    <xdr:to>
      <xdr:col>21</xdr:col>
      <xdr:colOff>685800</xdr:colOff>
      <xdr:row>109</xdr:row>
      <xdr:rowOff>87841</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78939</xdr:rowOff>
    </xdr:from>
    <xdr:to>
      <xdr:col>25</xdr:col>
      <xdr:colOff>685800</xdr:colOff>
      <xdr:row>109</xdr:row>
      <xdr:rowOff>87841</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78939</xdr:rowOff>
    </xdr:from>
    <xdr:to>
      <xdr:col>29</xdr:col>
      <xdr:colOff>685800</xdr:colOff>
      <xdr:row>109</xdr:row>
      <xdr:rowOff>87841</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12265</xdr:rowOff>
    </xdr:from>
    <xdr:to>
      <xdr:col>25</xdr:col>
      <xdr:colOff>57150</xdr:colOff>
      <xdr:row>74</xdr:row>
      <xdr:rowOff>12265</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265517</xdr:rowOff>
    </xdr:from>
    <xdr:to>
      <xdr:col>32</xdr:col>
      <xdr:colOff>666750</xdr:colOff>
      <xdr:row>92</xdr:row>
      <xdr:rowOff>73648</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8</xdr:col>
      <xdr:colOff>228600</xdr:colOff>
      <xdr:row>71</xdr:row>
      <xdr:rowOff>76574</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11</xdr:col>
      <xdr:colOff>190500</xdr:colOff>
      <xdr:row>71</xdr:row>
      <xdr:rowOff>76574</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49964</xdr:rowOff>
    </xdr:from>
    <xdr:to>
      <xdr:col>1</xdr:col>
      <xdr:colOff>4724400</xdr:colOff>
      <xdr:row>159</xdr:row>
      <xdr:rowOff>85725</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40341</xdr:rowOff>
    </xdr:from>
    <xdr:to>
      <xdr:col>20</xdr:col>
      <xdr:colOff>647700</xdr:colOff>
      <xdr:row>68</xdr:row>
      <xdr:rowOff>344581</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40341</xdr:rowOff>
    </xdr:from>
    <xdr:to>
      <xdr:col>24</xdr:col>
      <xdr:colOff>647700</xdr:colOff>
      <xdr:row>68</xdr:row>
      <xdr:rowOff>344581</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40341</xdr:rowOff>
    </xdr:from>
    <xdr:to>
      <xdr:col>28</xdr:col>
      <xdr:colOff>647700</xdr:colOff>
      <xdr:row>68</xdr:row>
      <xdr:rowOff>344581</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230281</xdr:rowOff>
    </xdr:from>
    <xdr:to>
      <xdr:col>21</xdr:col>
      <xdr:colOff>685800</xdr:colOff>
      <xdr:row>83</xdr:row>
      <xdr:rowOff>55843</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230281</xdr:rowOff>
    </xdr:from>
    <xdr:to>
      <xdr:col>25</xdr:col>
      <xdr:colOff>685800</xdr:colOff>
      <xdr:row>83</xdr:row>
      <xdr:rowOff>55843</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230281</xdr:rowOff>
    </xdr:from>
    <xdr:to>
      <xdr:col>29</xdr:col>
      <xdr:colOff>685800</xdr:colOff>
      <xdr:row>83</xdr:row>
      <xdr:rowOff>55843</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32</xdr:col>
      <xdr:colOff>666750</xdr:colOff>
      <xdr:row>65</xdr:row>
      <xdr:rowOff>136152</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8</xdr:col>
      <xdr:colOff>228600</xdr:colOff>
      <xdr:row>71</xdr:row>
      <xdr:rowOff>76574</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11</xdr:col>
      <xdr:colOff>190500</xdr:colOff>
      <xdr:row>71</xdr:row>
      <xdr:rowOff>76574</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49964</xdr:rowOff>
    </xdr:from>
    <xdr:to>
      <xdr:col>1</xdr:col>
      <xdr:colOff>4724400</xdr:colOff>
      <xdr:row>159</xdr:row>
      <xdr:rowOff>85725</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20</xdr:col>
      <xdr:colOff>647700</xdr:colOff>
      <xdr:row>68</xdr:row>
      <xdr:rowOff>344581</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24</xdr:col>
      <xdr:colOff>647700</xdr:colOff>
      <xdr:row>68</xdr:row>
      <xdr:rowOff>344581</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28</xdr:col>
      <xdr:colOff>647700</xdr:colOff>
      <xdr:row>68</xdr:row>
      <xdr:rowOff>344581</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215900</xdr:rowOff>
    </xdr:from>
    <xdr:to>
      <xdr:col>21</xdr:col>
      <xdr:colOff>685800</xdr:colOff>
      <xdr:row>83</xdr:row>
      <xdr:rowOff>55843</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215900</xdr:rowOff>
    </xdr:from>
    <xdr:to>
      <xdr:col>25</xdr:col>
      <xdr:colOff>685800</xdr:colOff>
      <xdr:row>83</xdr:row>
      <xdr:rowOff>55843</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215900</xdr:rowOff>
    </xdr:from>
    <xdr:to>
      <xdr:col>29</xdr:col>
      <xdr:colOff>685800</xdr:colOff>
      <xdr:row>83</xdr:row>
      <xdr:rowOff>55843</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32</xdr:col>
      <xdr:colOff>666750</xdr:colOff>
      <xdr:row>65</xdr:row>
      <xdr:rowOff>136152</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8</xdr:col>
      <xdr:colOff>228600</xdr:colOff>
      <xdr:row>71</xdr:row>
      <xdr:rowOff>76574</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11</xdr:col>
      <xdr:colOff>190500</xdr:colOff>
      <xdr:row>71</xdr:row>
      <xdr:rowOff>76574</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49964</xdr:rowOff>
    </xdr:from>
    <xdr:to>
      <xdr:col>1</xdr:col>
      <xdr:colOff>4724400</xdr:colOff>
      <xdr:row>159</xdr:row>
      <xdr:rowOff>85725</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20</xdr:col>
      <xdr:colOff>647700</xdr:colOff>
      <xdr:row>68</xdr:row>
      <xdr:rowOff>344581</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24</xdr:col>
      <xdr:colOff>647700</xdr:colOff>
      <xdr:row>68</xdr:row>
      <xdr:rowOff>344581</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28</xdr:col>
      <xdr:colOff>647700</xdr:colOff>
      <xdr:row>68</xdr:row>
      <xdr:rowOff>344581</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215900</xdr:rowOff>
    </xdr:from>
    <xdr:to>
      <xdr:col>21</xdr:col>
      <xdr:colOff>685800</xdr:colOff>
      <xdr:row>83</xdr:row>
      <xdr:rowOff>55843</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215900</xdr:rowOff>
    </xdr:from>
    <xdr:to>
      <xdr:col>25</xdr:col>
      <xdr:colOff>685800</xdr:colOff>
      <xdr:row>83</xdr:row>
      <xdr:rowOff>55843</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215900</xdr:rowOff>
    </xdr:from>
    <xdr:to>
      <xdr:col>29</xdr:col>
      <xdr:colOff>685800</xdr:colOff>
      <xdr:row>83</xdr:row>
      <xdr:rowOff>55843</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32</xdr:col>
      <xdr:colOff>666750</xdr:colOff>
      <xdr:row>65</xdr:row>
      <xdr:rowOff>136152</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8</xdr:col>
      <xdr:colOff>228600</xdr:colOff>
      <xdr:row>71</xdr:row>
      <xdr:rowOff>76574</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11</xdr:col>
      <xdr:colOff>190500</xdr:colOff>
      <xdr:row>71</xdr:row>
      <xdr:rowOff>76574</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49964</xdr:rowOff>
    </xdr:from>
    <xdr:to>
      <xdr:col>1</xdr:col>
      <xdr:colOff>4724400</xdr:colOff>
      <xdr:row>159</xdr:row>
      <xdr:rowOff>85725</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20</xdr:col>
      <xdr:colOff>647700</xdr:colOff>
      <xdr:row>68</xdr:row>
      <xdr:rowOff>344581</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24</xdr:col>
      <xdr:colOff>647700</xdr:colOff>
      <xdr:row>68</xdr:row>
      <xdr:rowOff>344581</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28</xdr:col>
      <xdr:colOff>647700</xdr:colOff>
      <xdr:row>68</xdr:row>
      <xdr:rowOff>344581</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215900</xdr:rowOff>
    </xdr:from>
    <xdr:to>
      <xdr:col>21</xdr:col>
      <xdr:colOff>685800</xdr:colOff>
      <xdr:row>83</xdr:row>
      <xdr:rowOff>55843</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215900</xdr:rowOff>
    </xdr:from>
    <xdr:to>
      <xdr:col>25</xdr:col>
      <xdr:colOff>685800</xdr:colOff>
      <xdr:row>83</xdr:row>
      <xdr:rowOff>55843</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215900</xdr:rowOff>
    </xdr:from>
    <xdr:to>
      <xdr:col>29</xdr:col>
      <xdr:colOff>685800</xdr:colOff>
      <xdr:row>83</xdr:row>
      <xdr:rowOff>55843</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32</xdr:col>
      <xdr:colOff>666750</xdr:colOff>
      <xdr:row>65</xdr:row>
      <xdr:rowOff>136152</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8</xdr:col>
      <xdr:colOff>228600</xdr:colOff>
      <xdr:row>71</xdr:row>
      <xdr:rowOff>76574</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11</xdr:col>
      <xdr:colOff>190500</xdr:colOff>
      <xdr:row>71</xdr:row>
      <xdr:rowOff>76574</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49964</xdr:rowOff>
    </xdr:from>
    <xdr:to>
      <xdr:col>1</xdr:col>
      <xdr:colOff>4724400</xdr:colOff>
      <xdr:row>159</xdr:row>
      <xdr:rowOff>85725</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20</xdr:col>
      <xdr:colOff>647700</xdr:colOff>
      <xdr:row>68</xdr:row>
      <xdr:rowOff>344581</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24</xdr:col>
      <xdr:colOff>647700</xdr:colOff>
      <xdr:row>68</xdr:row>
      <xdr:rowOff>344581</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28</xdr:col>
      <xdr:colOff>647700</xdr:colOff>
      <xdr:row>68</xdr:row>
      <xdr:rowOff>344581</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215900</xdr:rowOff>
    </xdr:from>
    <xdr:to>
      <xdr:col>21</xdr:col>
      <xdr:colOff>685800</xdr:colOff>
      <xdr:row>83</xdr:row>
      <xdr:rowOff>55843</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215900</xdr:rowOff>
    </xdr:from>
    <xdr:to>
      <xdr:col>25</xdr:col>
      <xdr:colOff>685800</xdr:colOff>
      <xdr:row>83</xdr:row>
      <xdr:rowOff>55843</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215900</xdr:rowOff>
    </xdr:from>
    <xdr:to>
      <xdr:col>29</xdr:col>
      <xdr:colOff>685800</xdr:colOff>
      <xdr:row>83</xdr:row>
      <xdr:rowOff>55843</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32</xdr:col>
      <xdr:colOff>666750</xdr:colOff>
      <xdr:row>65</xdr:row>
      <xdr:rowOff>136152</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8</xdr:col>
      <xdr:colOff>228600</xdr:colOff>
      <xdr:row>71</xdr:row>
      <xdr:rowOff>76574</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11</xdr:col>
      <xdr:colOff>190500</xdr:colOff>
      <xdr:row>71</xdr:row>
      <xdr:rowOff>76574</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49964</xdr:rowOff>
    </xdr:from>
    <xdr:to>
      <xdr:col>1</xdr:col>
      <xdr:colOff>4724400</xdr:colOff>
      <xdr:row>159</xdr:row>
      <xdr:rowOff>85725</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20</xdr:col>
      <xdr:colOff>647700</xdr:colOff>
      <xdr:row>68</xdr:row>
      <xdr:rowOff>344581</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24</xdr:col>
      <xdr:colOff>647700</xdr:colOff>
      <xdr:row>68</xdr:row>
      <xdr:rowOff>344581</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28</xdr:col>
      <xdr:colOff>647700</xdr:colOff>
      <xdr:row>68</xdr:row>
      <xdr:rowOff>344581</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215900</xdr:rowOff>
    </xdr:from>
    <xdr:to>
      <xdr:col>21</xdr:col>
      <xdr:colOff>685800</xdr:colOff>
      <xdr:row>83</xdr:row>
      <xdr:rowOff>55843</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215900</xdr:rowOff>
    </xdr:from>
    <xdr:to>
      <xdr:col>25</xdr:col>
      <xdr:colOff>685800</xdr:colOff>
      <xdr:row>83</xdr:row>
      <xdr:rowOff>55843</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215900</xdr:rowOff>
    </xdr:from>
    <xdr:to>
      <xdr:col>29</xdr:col>
      <xdr:colOff>685800</xdr:colOff>
      <xdr:row>83</xdr:row>
      <xdr:rowOff>55843</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32</xdr:col>
      <xdr:colOff>666750</xdr:colOff>
      <xdr:row>65</xdr:row>
      <xdr:rowOff>136152</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163606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163606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323850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49964</xdr:rowOff>
    </xdr:from>
    <xdr:to>
      <xdr:col>7</xdr:col>
      <xdr:colOff>6350</xdr:colOff>
      <xdr:row>179</xdr:row>
      <xdr:rowOff>85725</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87</xdr:row>
      <xdr:rowOff>178734</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87</xdr:row>
      <xdr:rowOff>178734</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87</xdr:row>
      <xdr:rowOff>178734</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19050</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191558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65</xdr:row>
      <xdr:rowOff>259416</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36</xdr:col>
      <xdr:colOff>666750</xdr:colOff>
      <xdr:row>83</xdr:row>
      <xdr:rowOff>17743</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163606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163606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323850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40439</xdr:rowOff>
    </xdr:from>
    <xdr:to>
      <xdr:col>7</xdr:col>
      <xdr:colOff>1727</xdr:colOff>
      <xdr:row>179</xdr:row>
      <xdr:rowOff>85725</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37166</xdr:rowOff>
    </xdr:from>
    <xdr:to>
      <xdr:col>24</xdr:col>
      <xdr:colOff>647700</xdr:colOff>
      <xdr:row>87</xdr:row>
      <xdr:rowOff>178734</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37166</xdr:rowOff>
    </xdr:from>
    <xdr:to>
      <xdr:col>28</xdr:col>
      <xdr:colOff>647700</xdr:colOff>
      <xdr:row>87</xdr:row>
      <xdr:rowOff>178734</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37166</xdr:rowOff>
    </xdr:from>
    <xdr:to>
      <xdr:col>32</xdr:col>
      <xdr:colOff>647700</xdr:colOff>
      <xdr:row>87</xdr:row>
      <xdr:rowOff>178734</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190500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65</xdr:row>
      <xdr:rowOff>259416</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136151</xdr:rowOff>
    </xdr:from>
    <xdr:to>
      <xdr:col>36</xdr:col>
      <xdr:colOff>673100</xdr:colOff>
      <xdr:row>83</xdr:row>
      <xdr:rowOff>17743</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163606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163606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323850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40439</xdr:rowOff>
    </xdr:from>
    <xdr:to>
      <xdr:col>7</xdr:col>
      <xdr:colOff>1727</xdr:colOff>
      <xdr:row>179</xdr:row>
      <xdr:rowOff>85725</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37166</xdr:rowOff>
    </xdr:from>
    <xdr:to>
      <xdr:col>24</xdr:col>
      <xdr:colOff>647700</xdr:colOff>
      <xdr:row>87</xdr:row>
      <xdr:rowOff>178734</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37166</xdr:rowOff>
    </xdr:from>
    <xdr:to>
      <xdr:col>28</xdr:col>
      <xdr:colOff>647700</xdr:colOff>
      <xdr:row>87</xdr:row>
      <xdr:rowOff>178734</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37166</xdr:rowOff>
    </xdr:from>
    <xdr:to>
      <xdr:col>32</xdr:col>
      <xdr:colOff>647700</xdr:colOff>
      <xdr:row>87</xdr:row>
      <xdr:rowOff>178734</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190500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65</xdr:row>
      <xdr:rowOff>259416</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136151</xdr:rowOff>
    </xdr:from>
    <xdr:to>
      <xdr:col>36</xdr:col>
      <xdr:colOff>673100</xdr:colOff>
      <xdr:row>83</xdr:row>
      <xdr:rowOff>17743</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163606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163606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323850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40439</xdr:rowOff>
    </xdr:from>
    <xdr:to>
      <xdr:col>6</xdr:col>
      <xdr:colOff>0</xdr:colOff>
      <xdr:row>179</xdr:row>
      <xdr:rowOff>82550</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86</xdr:row>
      <xdr:rowOff>93943</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86</xdr:row>
      <xdr:rowOff>93943</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86</xdr:row>
      <xdr:rowOff>93943</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192741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136151</xdr:rowOff>
    </xdr:from>
    <xdr:to>
      <xdr:col>36</xdr:col>
      <xdr:colOff>666750</xdr:colOff>
      <xdr:row>83</xdr:row>
      <xdr:rowOff>17743</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163606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163606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323850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133350</xdr:rowOff>
    </xdr:from>
    <xdr:to>
      <xdr:col>6</xdr:col>
      <xdr:colOff>0</xdr:colOff>
      <xdr:row>181</xdr:row>
      <xdr:rowOff>9525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86</xdr:row>
      <xdr:rowOff>93943</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86</xdr:row>
      <xdr:rowOff>93943</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86</xdr:row>
      <xdr:rowOff>93943</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192741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163606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163606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323850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133350</xdr:rowOff>
    </xdr:from>
    <xdr:to>
      <xdr:col>6</xdr:col>
      <xdr:colOff>0</xdr:colOff>
      <xdr:row>181</xdr:row>
      <xdr:rowOff>9525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86</xdr:row>
      <xdr:rowOff>93943</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86</xdr:row>
      <xdr:rowOff>93943</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86</xdr:row>
      <xdr:rowOff>93943</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192741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163606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163606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323850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133350</xdr:rowOff>
    </xdr:from>
    <xdr:to>
      <xdr:col>6</xdr:col>
      <xdr:colOff>0</xdr:colOff>
      <xdr:row>181</xdr:row>
      <xdr:rowOff>9525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86</xdr:row>
      <xdr:rowOff>93943</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86</xdr:row>
      <xdr:rowOff>93943</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86</xdr:row>
      <xdr:rowOff>93943</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192741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163606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163606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323850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133350</xdr:rowOff>
    </xdr:from>
    <xdr:to>
      <xdr:col>6</xdr:col>
      <xdr:colOff>0</xdr:colOff>
      <xdr:row>181</xdr:row>
      <xdr:rowOff>9525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86</xdr:row>
      <xdr:rowOff>93943</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86</xdr:row>
      <xdr:rowOff>93943</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86</xdr:row>
      <xdr:rowOff>93943</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192741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163606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163606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323850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133350</xdr:rowOff>
    </xdr:from>
    <xdr:to>
      <xdr:col>6</xdr:col>
      <xdr:colOff>0</xdr:colOff>
      <xdr:row>181</xdr:row>
      <xdr:rowOff>9525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86</xdr:row>
      <xdr:rowOff>93943</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86</xdr:row>
      <xdr:rowOff>93943</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86</xdr:row>
      <xdr:rowOff>93943</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192741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76574</xdr:rowOff>
    </xdr:from>
    <xdr:to>
      <xdr:col>11</xdr:col>
      <xdr:colOff>228600</xdr:colOff>
      <xdr:row>91</xdr:row>
      <xdr:rowOff>331134</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76574</xdr:rowOff>
    </xdr:from>
    <xdr:to>
      <xdr:col>14</xdr:col>
      <xdr:colOff>190500</xdr:colOff>
      <xdr:row>91</xdr:row>
      <xdr:rowOff>331134</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163606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163606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323850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133350</xdr:rowOff>
    </xdr:from>
    <xdr:to>
      <xdr:col>6</xdr:col>
      <xdr:colOff>0</xdr:colOff>
      <xdr:row>181</xdr:row>
      <xdr:rowOff>9525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30816</xdr:rowOff>
    </xdr:from>
    <xdr:to>
      <xdr:col>24</xdr:col>
      <xdr:colOff>647700</xdr:colOff>
      <xdr:row>86</xdr:row>
      <xdr:rowOff>93943</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30816</xdr:rowOff>
    </xdr:from>
    <xdr:to>
      <xdr:col>28</xdr:col>
      <xdr:colOff>647700</xdr:colOff>
      <xdr:row>86</xdr:row>
      <xdr:rowOff>93943</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30816</xdr:rowOff>
    </xdr:from>
    <xdr:to>
      <xdr:col>32</xdr:col>
      <xdr:colOff>647700</xdr:colOff>
      <xdr:row>86</xdr:row>
      <xdr:rowOff>93943</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163606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192741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2277035</xdr:colOff>
      <xdr:row>76</xdr:row>
      <xdr:rowOff>124264</xdr:rowOff>
    </xdr:from>
    <xdr:to>
      <xdr:col>4</xdr:col>
      <xdr:colOff>464297</xdr:colOff>
      <xdr:row>82</xdr:row>
      <xdr:rowOff>3086</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77</xdr:row>
      <xdr:rowOff>35287</xdr:rowOff>
    </xdr:from>
    <xdr:to>
      <xdr:col>4</xdr:col>
      <xdr:colOff>464297</xdr:colOff>
      <xdr:row>83</xdr:row>
      <xdr:rowOff>451</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78</xdr:row>
      <xdr:rowOff>117164</xdr:rowOff>
    </xdr:from>
    <xdr:to>
      <xdr:col>4</xdr:col>
      <xdr:colOff>464297</xdr:colOff>
      <xdr:row>83</xdr:row>
      <xdr:rowOff>120887</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79</xdr:row>
      <xdr:rowOff>131342</xdr:rowOff>
    </xdr:from>
    <xdr:to>
      <xdr:col>4</xdr:col>
      <xdr:colOff>464297</xdr:colOff>
      <xdr:row>84</xdr:row>
      <xdr:rowOff>264818</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103</xdr:row>
      <xdr:rowOff>103354</xdr:rowOff>
    </xdr:from>
    <xdr:to>
      <xdr:col>4</xdr:col>
      <xdr:colOff>464297</xdr:colOff>
      <xdr:row>130</xdr:row>
      <xdr:rowOff>86094</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103</xdr:row>
      <xdr:rowOff>198447</xdr:rowOff>
    </xdr:from>
    <xdr:to>
      <xdr:col>4</xdr:col>
      <xdr:colOff>464297</xdr:colOff>
      <xdr:row>114</xdr:row>
      <xdr:rowOff>133337</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59</xdr:row>
      <xdr:rowOff>381514</xdr:rowOff>
    </xdr:from>
    <xdr:to>
      <xdr:col>4</xdr:col>
      <xdr:colOff>464297</xdr:colOff>
      <xdr:row>76</xdr:row>
      <xdr:rowOff>143375</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59</xdr:row>
      <xdr:rowOff>381514</xdr:rowOff>
    </xdr:from>
    <xdr:to>
      <xdr:col>4</xdr:col>
      <xdr:colOff>464297</xdr:colOff>
      <xdr:row>71</xdr:row>
      <xdr:rowOff>164676</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59</xdr:row>
      <xdr:rowOff>381514</xdr:rowOff>
    </xdr:from>
    <xdr:to>
      <xdr:col>4</xdr:col>
      <xdr:colOff>464297</xdr:colOff>
      <xdr:row>65</xdr:row>
      <xdr:rowOff>49543</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105338</xdr:rowOff>
    </xdr:from>
    <xdr:to>
      <xdr:col>4</xdr:col>
      <xdr:colOff>464297</xdr:colOff>
      <xdr:row>64</xdr:row>
      <xdr:rowOff>163652</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191038</xdr:rowOff>
    </xdr:from>
    <xdr:to>
      <xdr:col>4</xdr:col>
      <xdr:colOff>464297</xdr:colOff>
      <xdr:row>63</xdr:row>
      <xdr:rowOff>161256</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7434</xdr:rowOff>
    </xdr:from>
    <xdr:to>
      <xdr:col>5</xdr:col>
      <xdr:colOff>287804</xdr:colOff>
      <xdr:row>112</xdr:row>
      <xdr:rowOff>125816</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59</xdr:row>
      <xdr:rowOff>246909</xdr:rowOff>
    </xdr:from>
    <xdr:to>
      <xdr:col>4</xdr:col>
      <xdr:colOff>464297</xdr:colOff>
      <xdr:row>63</xdr:row>
      <xdr:rowOff>130536</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45167</xdr:rowOff>
    </xdr:from>
    <xdr:to>
      <xdr:col>4</xdr:col>
      <xdr:colOff>464297</xdr:colOff>
      <xdr:row>64</xdr:row>
      <xdr:rowOff>67965</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266135</xdr:rowOff>
    </xdr:from>
    <xdr:to>
      <xdr:col>4</xdr:col>
      <xdr:colOff>464297</xdr:colOff>
      <xdr:row>65</xdr:row>
      <xdr:rowOff>50360</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68666</xdr:rowOff>
    </xdr:from>
    <xdr:to>
      <xdr:col>4</xdr:col>
      <xdr:colOff>464297</xdr:colOff>
      <xdr:row>66</xdr:row>
      <xdr:rowOff>10276</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84</xdr:row>
      <xdr:rowOff>298290</xdr:rowOff>
    </xdr:from>
    <xdr:to>
      <xdr:col>4</xdr:col>
      <xdr:colOff>464297</xdr:colOff>
      <xdr:row>110</xdr:row>
      <xdr:rowOff>6897</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107363</xdr:rowOff>
    </xdr:from>
    <xdr:to>
      <xdr:col>4</xdr:col>
      <xdr:colOff>464297</xdr:colOff>
      <xdr:row>96</xdr:row>
      <xdr:rowOff>126673</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59</xdr:row>
      <xdr:rowOff>292297</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178010</xdr:rowOff>
    </xdr:from>
    <xdr:to>
      <xdr:col>4</xdr:col>
      <xdr:colOff>464297</xdr:colOff>
      <xdr:row>57</xdr:row>
      <xdr:rowOff>230666</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178010</xdr:rowOff>
    </xdr:from>
    <xdr:to>
      <xdr:col>4</xdr:col>
      <xdr:colOff>464297</xdr:colOff>
      <xdr:row>53</xdr:row>
      <xdr:rowOff>164041</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8093</xdr:rowOff>
    </xdr:from>
    <xdr:to>
      <xdr:col>5</xdr:col>
      <xdr:colOff>287804</xdr:colOff>
      <xdr:row>94</xdr:row>
      <xdr:rowOff>120806</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47253</xdr:rowOff>
    </xdr:from>
    <xdr:to>
      <xdr:col>4</xdr:col>
      <xdr:colOff>464297</xdr:colOff>
      <xdr:row>84</xdr:row>
      <xdr:rowOff>141592</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47378</xdr:rowOff>
    </xdr:from>
    <xdr:to>
      <xdr:col>4</xdr:col>
      <xdr:colOff>464297</xdr:colOff>
      <xdr:row>84</xdr:row>
      <xdr:rowOff>298440</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464297</xdr:colOff>
      <xdr:row>85</xdr:row>
      <xdr:rowOff>92674</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122289</xdr:rowOff>
    </xdr:from>
    <xdr:to>
      <xdr:col>4</xdr:col>
      <xdr:colOff>464297</xdr:colOff>
      <xdr:row>86</xdr:row>
      <xdr:rowOff>8002</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106815</xdr:rowOff>
    </xdr:from>
    <xdr:to>
      <xdr:col>4</xdr:col>
      <xdr:colOff>464297</xdr:colOff>
      <xdr:row>121</xdr:row>
      <xdr:rowOff>97579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464297</xdr:colOff>
      <xdr:row>81</xdr:row>
      <xdr:rowOff>125498</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121857</xdr:rowOff>
    </xdr:from>
    <xdr:to>
      <xdr:col>4</xdr:col>
      <xdr:colOff>464297</xdr:colOff>
      <xdr:row>76</xdr:row>
      <xdr:rowOff>112168</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145536</xdr:rowOff>
    </xdr:from>
    <xdr:to>
      <xdr:col>4</xdr:col>
      <xdr:colOff>464297</xdr:colOff>
      <xdr:row>69</xdr:row>
      <xdr:rowOff>160540</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30262</xdr:rowOff>
    </xdr:from>
    <xdr:to>
      <xdr:col>4</xdr:col>
      <xdr:colOff>464297</xdr:colOff>
      <xdr:row>69</xdr:row>
      <xdr:rowOff>404</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12551</xdr:rowOff>
    </xdr:from>
    <xdr:to>
      <xdr:col>4</xdr:col>
      <xdr:colOff>464297</xdr:colOff>
      <xdr:row>68</xdr:row>
      <xdr:rowOff>12551</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106815</xdr:rowOff>
    </xdr:from>
    <xdr:to>
      <xdr:col>5</xdr:col>
      <xdr:colOff>287804</xdr:colOff>
      <xdr:row>119</xdr:row>
      <xdr:rowOff>171148</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11257</xdr:rowOff>
    </xdr:from>
    <xdr:to>
      <xdr:col>17</xdr:col>
      <xdr:colOff>382316</xdr:colOff>
      <xdr:row>37</xdr:row>
      <xdr:rowOff>88779</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464297</xdr:colOff>
      <xdr:row>61</xdr:row>
      <xdr:rowOff>44495</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47895</xdr:rowOff>
    </xdr:from>
    <xdr:to>
      <xdr:col>4</xdr:col>
      <xdr:colOff>464297</xdr:colOff>
      <xdr:row>61</xdr:row>
      <xdr:rowOff>180697</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464297</xdr:colOff>
      <xdr:row>62</xdr:row>
      <xdr:rowOff>95775</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45046</xdr:rowOff>
    </xdr:from>
    <xdr:to>
      <xdr:col>4</xdr:col>
      <xdr:colOff>464297</xdr:colOff>
      <xdr:row>62</xdr:row>
      <xdr:rowOff>154576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464297</xdr:colOff>
      <xdr:row>96</xdr:row>
      <xdr:rowOff>105550</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59</xdr:row>
      <xdr:rowOff>240377</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26796</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464297</xdr:colOff>
      <xdr:row>61</xdr:row>
      <xdr:rowOff>44495</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47895</xdr:rowOff>
    </xdr:from>
    <xdr:to>
      <xdr:col>4</xdr:col>
      <xdr:colOff>464297</xdr:colOff>
      <xdr:row>61</xdr:row>
      <xdr:rowOff>180697</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464297</xdr:colOff>
      <xdr:row>62</xdr:row>
      <xdr:rowOff>95775</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45046</xdr:rowOff>
    </xdr:from>
    <xdr:to>
      <xdr:col>4</xdr:col>
      <xdr:colOff>464297</xdr:colOff>
      <xdr:row>62</xdr:row>
      <xdr:rowOff>154576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464297</xdr:colOff>
      <xdr:row>96</xdr:row>
      <xdr:rowOff>105550</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59</xdr:row>
      <xdr:rowOff>240377</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26796</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464297</xdr:colOff>
      <xdr:row>61</xdr:row>
      <xdr:rowOff>44495</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47895</xdr:rowOff>
    </xdr:from>
    <xdr:to>
      <xdr:col>4</xdr:col>
      <xdr:colOff>464297</xdr:colOff>
      <xdr:row>61</xdr:row>
      <xdr:rowOff>180697</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464297</xdr:colOff>
      <xdr:row>62</xdr:row>
      <xdr:rowOff>95775</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45046</xdr:rowOff>
    </xdr:from>
    <xdr:to>
      <xdr:col>4</xdr:col>
      <xdr:colOff>464297</xdr:colOff>
      <xdr:row>62</xdr:row>
      <xdr:rowOff>154576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464297</xdr:colOff>
      <xdr:row>96</xdr:row>
      <xdr:rowOff>105550</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59</xdr:row>
      <xdr:rowOff>240377</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26796</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464297</xdr:colOff>
      <xdr:row>61</xdr:row>
      <xdr:rowOff>44495</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47895</xdr:rowOff>
    </xdr:from>
    <xdr:to>
      <xdr:col>4</xdr:col>
      <xdr:colOff>464297</xdr:colOff>
      <xdr:row>61</xdr:row>
      <xdr:rowOff>180697</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464297</xdr:colOff>
      <xdr:row>62</xdr:row>
      <xdr:rowOff>95775</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45046</xdr:rowOff>
    </xdr:from>
    <xdr:to>
      <xdr:col>4</xdr:col>
      <xdr:colOff>464297</xdr:colOff>
      <xdr:row>62</xdr:row>
      <xdr:rowOff>154576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464297</xdr:colOff>
      <xdr:row>96</xdr:row>
      <xdr:rowOff>105550</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59</xdr:row>
      <xdr:rowOff>240377</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57</xdr:row>
      <xdr:rowOff>26796</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6562</xdr:rowOff>
    </xdr:from>
    <xdr:to>
      <xdr:col>5</xdr:col>
      <xdr:colOff>287804</xdr:colOff>
      <xdr:row>94</xdr:row>
      <xdr:rowOff>77742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278688</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105580</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122068</xdr:rowOff>
    </xdr:from>
    <xdr:to>
      <xdr:col>5</xdr:col>
      <xdr:colOff>133275</xdr:colOff>
      <xdr:row>67</xdr:row>
      <xdr:rowOff>29838</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31176</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69167</xdr:rowOff>
    </xdr:from>
    <xdr:to>
      <xdr:col>5</xdr:col>
      <xdr:colOff>133275</xdr:colOff>
      <xdr:row>69</xdr:row>
      <xdr:rowOff>98</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31712</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121030</xdr:rowOff>
    </xdr:from>
    <xdr:to>
      <xdr:col>5</xdr:col>
      <xdr:colOff>133275</xdr:colOff>
      <xdr:row>89</xdr:row>
      <xdr:rowOff>152819</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278688</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105580</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122068</xdr:rowOff>
    </xdr:from>
    <xdr:to>
      <xdr:col>5</xdr:col>
      <xdr:colOff>133275</xdr:colOff>
      <xdr:row>67</xdr:row>
      <xdr:rowOff>29838</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31176</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69167</xdr:rowOff>
    </xdr:from>
    <xdr:to>
      <xdr:col>5</xdr:col>
      <xdr:colOff>133275</xdr:colOff>
      <xdr:row>69</xdr:row>
      <xdr:rowOff>98</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31712</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121030</xdr:rowOff>
    </xdr:from>
    <xdr:to>
      <xdr:col>5</xdr:col>
      <xdr:colOff>133275</xdr:colOff>
      <xdr:row>89</xdr:row>
      <xdr:rowOff>152819</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278688</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88172</xdr:rowOff>
    </xdr:from>
    <xdr:to>
      <xdr:col>5</xdr:col>
      <xdr:colOff>133275</xdr:colOff>
      <xdr:row>66</xdr:row>
      <xdr:rowOff>105580</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66800</xdr:rowOff>
    </xdr:from>
    <xdr:to>
      <xdr:col>5</xdr:col>
      <xdr:colOff>133275</xdr:colOff>
      <xdr:row>67</xdr:row>
      <xdr:rowOff>29838</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133275</xdr:colOff>
      <xdr:row>68</xdr:row>
      <xdr:rowOff>31176</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50117</xdr:rowOff>
    </xdr:from>
    <xdr:to>
      <xdr:col>5</xdr:col>
      <xdr:colOff>133275</xdr:colOff>
      <xdr:row>69</xdr:row>
      <xdr:rowOff>98</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133275</xdr:colOff>
      <xdr:row>88</xdr:row>
      <xdr:rowOff>31712</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121030</xdr:rowOff>
    </xdr:from>
    <xdr:to>
      <xdr:col>5</xdr:col>
      <xdr:colOff>133275</xdr:colOff>
      <xdr:row>89</xdr:row>
      <xdr:rowOff>152819</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55</xdr:row>
      <xdr:rowOff>278688</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88172</xdr:rowOff>
    </xdr:from>
    <xdr:to>
      <xdr:col>5</xdr:col>
      <xdr:colOff>105335</xdr:colOff>
      <xdr:row>66</xdr:row>
      <xdr:rowOff>105580</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66800</xdr:rowOff>
    </xdr:from>
    <xdr:to>
      <xdr:col>5</xdr:col>
      <xdr:colOff>105335</xdr:colOff>
      <xdr:row>67</xdr:row>
      <xdr:rowOff>29838</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31176</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50117</xdr:rowOff>
    </xdr:from>
    <xdr:to>
      <xdr:col>5</xdr:col>
      <xdr:colOff>105335</xdr:colOff>
      <xdr:row>69</xdr:row>
      <xdr:rowOff>98</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121030</xdr:rowOff>
    </xdr:from>
    <xdr:to>
      <xdr:col>5</xdr:col>
      <xdr:colOff>105335</xdr:colOff>
      <xdr:row>89</xdr:row>
      <xdr:rowOff>152819</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55</xdr:row>
      <xdr:rowOff>278688</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88172</xdr:rowOff>
    </xdr:from>
    <xdr:to>
      <xdr:col>5</xdr:col>
      <xdr:colOff>105335</xdr:colOff>
      <xdr:row>66</xdr:row>
      <xdr:rowOff>105580</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66800</xdr:rowOff>
    </xdr:from>
    <xdr:to>
      <xdr:col>5</xdr:col>
      <xdr:colOff>105335</xdr:colOff>
      <xdr:row>67</xdr:row>
      <xdr:rowOff>29838</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31176</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50117</xdr:rowOff>
    </xdr:from>
    <xdr:to>
      <xdr:col>5</xdr:col>
      <xdr:colOff>105335</xdr:colOff>
      <xdr:row>69</xdr:row>
      <xdr:rowOff>98</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121030</xdr:rowOff>
    </xdr:from>
    <xdr:to>
      <xdr:col>5</xdr:col>
      <xdr:colOff>105335</xdr:colOff>
      <xdr:row>89</xdr:row>
      <xdr:rowOff>152819</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55</xdr:row>
      <xdr:rowOff>278688</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88172</xdr:rowOff>
    </xdr:from>
    <xdr:to>
      <xdr:col>5</xdr:col>
      <xdr:colOff>105335</xdr:colOff>
      <xdr:row>66</xdr:row>
      <xdr:rowOff>105580</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66800</xdr:rowOff>
    </xdr:from>
    <xdr:to>
      <xdr:col>5</xdr:col>
      <xdr:colOff>105335</xdr:colOff>
      <xdr:row>67</xdr:row>
      <xdr:rowOff>29838</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31176</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50117</xdr:rowOff>
    </xdr:from>
    <xdr:to>
      <xdr:col>5</xdr:col>
      <xdr:colOff>105335</xdr:colOff>
      <xdr:row>69</xdr:row>
      <xdr:rowOff>98</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121030</xdr:rowOff>
    </xdr:from>
    <xdr:to>
      <xdr:col>5</xdr:col>
      <xdr:colOff>105335</xdr:colOff>
      <xdr:row>89</xdr:row>
      <xdr:rowOff>152819</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305613</xdr:rowOff>
    </xdr:from>
    <xdr:to>
      <xdr:col>5</xdr:col>
      <xdr:colOff>287804</xdr:colOff>
      <xdr:row>97</xdr:row>
      <xdr:rowOff>106736</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57</xdr:row>
      <xdr:rowOff>25949</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57</xdr:row>
      <xdr:rowOff>88655</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56</xdr:row>
      <xdr:rowOff>2403</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56</xdr:row>
      <xdr:rowOff>27695</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56</xdr:row>
      <xdr:rowOff>278094</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141762</xdr:rowOff>
    </xdr:from>
    <xdr:to>
      <xdr:col>5</xdr:col>
      <xdr:colOff>105335</xdr:colOff>
      <xdr:row>70</xdr:row>
      <xdr:rowOff>970</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121148</xdr:rowOff>
    </xdr:from>
    <xdr:to>
      <xdr:col>5</xdr:col>
      <xdr:colOff>105335</xdr:colOff>
      <xdr:row>71</xdr:row>
      <xdr:rowOff>268</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162503</xdr:rowOff>
    </xdr:from>
    <xdr:to>
      <xdr:col>5</xdr:col>
      <xdr:colOff>105335</xdr:colOff>
      <xdr:row>71</xdr:row>
      <xdr:rowOff>131187</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133884</xdr:rowOff>
    </xdr:from>
    <xdr:to>
      <xdr:col>5</xdr:col>
      <xdr:colOff>105335</xdr:colOff>
      <xdr:row>72</xdr:row>
      <xdr:rowOff>111578</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48038</xdr:rowOff>
    </xdr:from>
    <xdr:to>
      <xdr:col>5</xdr:col>
      <xdr:colOff>105335</xdr:colOff>
      <xdr:row>92</xdr:row>
      <xdr:rowOff>8719</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99</xdr:row>
      <xdr:rowOff>86061</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98</xdr:row>
      <xdr:rowOff>45370</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125484</xdr:rowOff>
    </xdr:from>
    <xdr:to>
      <xdr:col>5</xdr:col>
      <xdr:colOff>315744</xdr:colOff>
      <xdr:row>120</xdr:row>
      <xdr:rowOff>145438</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11493</xdr:rowOff>
    </xdr:from>
    <xdr:to>
      <xdr:col>5</xdr:col>
      <xdr:colOff>105335</xdr:colOff>
      <xdr:row>81</xdr:row>
      <xdr:rowOff>30409</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49615</xdr:rowOff>
    </xdr:from>
    <xdr:to>
      <xdr:col>5</xdr:col>
      <xdr:colOff>133275</xdr:colOff>
      <xdr:row>78</xdr:row>
      <xdr:rowOff>163086</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49363</xdr:rowOff>
    </xdr:from>
    <xdr:to>
      <xdr:col>5</xdr:col>
      <xdr:colOff>105335</xdr:colOff>
      <xdr:row>73</xdr:row>
      <xdr:rowOff>104949</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102822</xdr:rowOff>
    </xdr:from>
    <xdr:to>
      <xdr:col>5</xdr:col>
      <xdr:colOff>105335</xdr:colOff>
      <xdr:row>74</xdr:row>
      <xdr:rowOff>20242</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87021</xdr:rowOff>
    </xdr:from>
    <xdr:to>
      <xdr:col>5</xdr:col>
      <xdr:colOff>105335</xdr:colOff>
      <xdr:row>74</xdr:row>
      <xdr:rowOff>169444</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29225</xdr:rowOff>
    </xdr:from>
    <xdr:to>
      <xdr:col>5</xdr:col>
      <xdr:colOff>105335</xdr:colOff>
      <xdr:row>92</xdr:row>
      <xdr:rowOff>7642</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26736</xdr:rowOff>
    </xdr:from>
    <xdr:to>
      <xdr:col>5</xdr:col>
      <xdr:colOff>105335</xdr:colOff>
      <xdr:row>92</xdr:row>
      <xdr:rowOff>140479</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25497</xdr:rowOff>
    </xdr:from>
    <xdr:to>
      <xdr:col>5</xdr:col>
      <xdr:colOff>105335</xdr:colOff>
      <xdr:row>93</xdr:row>
      <xdr:rowOff>149770</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106220</xdr:rowOff>
    </xdr:from>
    <xdr:to>
      <xdr:col>5</xdr:col>
      <xdr:colOff>105335</xdr:colOff>
      <xdr:row>94</xdr:row>
      <xdr:rowOff>164120</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113</xdr:row>
      <xdr:rowOff>230418</xdr:rowOff>
    </xdr:from>
    <xdr:to>
      <xdr:col>5</xdr:col>
      <xdr:colOff>105335</xdr:colOff>
      <xdr:row>113</xdr:row>
      <xdr:rowOff>230502</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105335</xdr:colOff>
      <xdr:row>138</xdr:row>
      <xdr:rowOff>19194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105335</xdr:colOff>
      <xdr:row>136</xdr:row>
      <xdr:rowOff>117035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111</xdr:row>
      <xdr:rowOff>181959</xdr:rowOff>
    </xdr:from>
    <xdr:to>
      <xdr:col>5</xdr:col>
      <xdr:colOff>306854</xdr:colOff>
      <xdr:row>126</xdr:row>
      <xdr:rowOff>26784</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12532</xdr:rowOff>
    </xdr:from>
    <xdr:to>
      <xdr:col>5</xdr:col>
      <xdr:colOff>124385</xdr:colOff>
      <xdr:row>84</xdr:row>
      <xdr:rowOff>116117</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49363</xdr:rowOff>
    </xdr:from>
    <xdr:to>
      <xdr:col>5</xdr:col>
      <xdr:colOff>124385</xdr:colOff>
      <xdr:row>84</xdr:row>
      <xdr:rowOff>86507</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124385</xdr:colOff>
      <xdr:row>76</xdr:row>
      <xdr:rowOff>26529</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45694</xdr:rowOff>
    </xdr:from>
    <xdr:to>
      <xdr:col>5</xdr:col>
      <xdr:colOff>124385</xdr:colOff>
      <xdr:row>75</xdr:row>
      <xdr:rowOff>76050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77</xdr:row>
      <xdr:rowOff>27882</xdr:rowOff>
    </xdr:from>
    <xdr:to>
      <xdr:col>5</xdr:col>
      <xdr:colOff>105335</xdr:colOff>
      <xdr:row>79</xdr:row>
      <xdr:rowOff>766</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104676</xdr:rowOff>
    </xdr:from>
    <xdr:to>
      <xdr:col>5</xdr:col>
      <xdr:colOff>105335</xdr:colOff>
      <xdr:row>96</xdr:row>
      <xdr:rowOff>123255</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82720</xdr:rowOff>
    </xdr:from>
    <xdr:to>
      <xdr:col>5</xdr:col>
      <xdr:colOff>105335</xdr:colOff>
      <xdr:row>97</xdr:row>
      <xdr:rowOff>122874</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105335</xdr:colOff>
      <xdr:row>98</xdr:row>
      <xdr:rowOff>120789</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105335</xdr:colOff>
      <xdr:row>99</xdr:row>
      <xdr:rowOff>87094</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105335</xdr:colOff>
      <xdr:row>119</xdr:row>
      <xdr:rowOff>69101</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187</xdr:row>
      <xdr:rowOff>76353</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186</xdr:row>
      <xdr:rowOff>7026</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25525</xdr:rowOff>
    </xdr:from>
    <xdr:to>
      <xdr:col>5</xdr:col>
      <xdr:colOff>306854</xdr:colOff>
      <xdr:row>103</xdr:row>
      <xdr:rowOff>212</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61</xdr:row>
      <xdr:rowOff>106183</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61</xdr:row>
      <xdr:rowOff>105831</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56</xdr:row>
      <xdr:rowOff>359269</xdr:rowOff>
    </xdr:from>
    <xdr:to>
      <xdr:col>5</xdr:col>
      <xdr:colOff>124385</xdr:colOff>
      <xdr:row>58</xdr:row>
      <xdr:rowOff>171540</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170776</xdr:rowOff>
    </xdr:from>
    <xdr:to>
      <xdr:col>5</xdr:col>
      <xdr:colOff>124385</xdr:colOff>
      <xdr:row>58</xdr:row>
      <xdr:rowOff>65524</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152070</xdr:rowOff>
    </xdr:from>
    <xdr:to>
      <xdr:col>5</xdr:col>
      <xdr:colOff>105335</xdr:colOff>
      <xdr:row>60</xdr:row>
      <xdr:rowOff>133195</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105335</xdr:colOff>
      <xdr:row>76</xdr:row>
      <xdr:rowOff>26296</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8222</xdr:rowOff>
    </xdr:from>
    <xdr:to>
      <xdr:col>5</xdr:col>
      <xdr:colOff>105335</xdr:colOff>
      <xdr:row>76</xdr:row>
      <xdr:rowOff>190845</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139749</xdr:rowOff>
    </xdr:from>
    <xdr:to>
      <xdr:col>5</xdr:col>
      <xdr:colOff>105335</xdr:colOff>
      <xdr:row>77</xdr:row>
      <xdr:rowOff>25909</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105622</xdr:rowOff>
    </xdr:from>
    <xdr:to>
      <xdr:col>5</xdr:col>
      <xdr:colOff>105335</xdr:colOff>
      <xdr:row>78</xdr:row>
      <xdr:rowOff>28406</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105335</xdr:colOff>
      <xdr:row>99</xdr:row>
      <xdr:rowOff>44967</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121</xdr:row>
      <xdr:rowOff>20877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120</xdr:row>
      <xdr:rowOff>119</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104459</xdr:rowOff>
    </xdr:from>
    <xdr:to>
      <xdr:col>5</xdr:col>
      <xdr:colOff>287804</xdr:colOff>
      <xdr:row>95</xdr:row>
      <xdr:rowOff>124980</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57</xdr:row>
      <xdr:rowOff>907</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265178</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28921</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139961</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159772</xdr:rowOff>
    </xdr:from>
    <xdr:to>
      <xdr:col>5</xdr:col>
      <xdr:colOff>105335</xdr:colOff>
      <xdr:row>94</xdr:row>
      <xdr:rowOff>20832</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104459</xdr:rowOff>
    </xdr:from>
    <xdr:to>
      <xdr:col>5</xdr:col>
      <xdr:colOff>287804</xdr:colOff>
      <xdr:row>95</xdr:row>
      <xdr:rowOff>124980</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104459</xdr:rowOff>
    </xdr:from>
    <xdr:to>
      <xdr:col>5</xdr:col>
      <xdr:colOff>287804</xdr:colOff>
      <xdr:row>95</xdr:row>
      <xdr:rowOff>124980</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8307</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95491</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87653</xdr:rowOff>
    </xdr:from>
    <xdr:to>
      <xdr:col>5</xdr:col>
      <xdr:colOff>114225</xdr:colOff>
      <xdr:row>105</xdr:row>
      <xdr:rowOff>26574</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63649</xdr:rowOff>
    </xdr:from>
    <xdr:to>
      <xdr:col>5</xdr:col>
      <xdr:colOff>114225</xdr:colOff>
      <xdr:row>106</xdr:row>
      <xdr:rowOff>1844</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8307</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95491</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87653</xdr:rowOff>
    </xdr:from>
    <xdr:to>
      <xdr:col>5</xdr:col>
      <xdr:colOff>114225</xdr:colOff>
      <xdr:row>105</xdr:row>
      <xdr:rowOff>26574</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63649</xdr:rowOff>
    </xdr:from>
    <xdr:to>
      <xdr:col>5</xdr:col>
      <xdr:colOff>114225</xdr:colOff>
      <xdr:row>106</xdr:row>
      <xdr:rowOff>1844</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8307</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95491</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87653</xdr:rowOff>
    </xdr:from>
    <xdr:to>
      <xdr:col>5</xdr:col>
      <xdr:colOff>114225</xdr:colOff>
      <xdr:row>105</xdr:row>
      <xdr:rowOff>26574</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63649</xdr:rowOff>
    </xdr:from>
    <xdr:to>
      <xdr:col>5</xdr:col>
      <xdr:colOff>114225</xdr:colOff>
      <xdr:row>106</xdr:row>
      <xdr:rowOff>1844</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8307</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95809</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87653</xdr:rowOff>
    </xdr:from>
    <xdr:to>
      <xdr:col>5</xdr:col>
      <xdr:colOff>112955</xdr:colOff>
      <xdr:row>105</xdr:row>
      <xdr:rowOff>26574</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63649</xdr:rowOff>
    </xdr:from>
    <xdr:to>
      <xdr:col>5</xdr:col>
      <xdr:colOff>112955</xdr:colOff>
      <xdr:row>106</xdr:row>
      <xdr:rowOff>1844</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8307</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95809</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87653</xdr:rowOff>
    </xdr:from>
    <xdr:to>
      <xdr:col>5</xdr:col>
      <xdr:colOff>112955</xdr:colOff>
      <xdr:row>105</xdr:row>
      <xdr:rowOff>26574</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63649</xdr:rowOff>
    </xdr:from>
    <xdr:to>
      <xdr:col>5</xdr:col>
      <xdr:colOff>112955</xdr:colOff>
      <xdr:row>106</xdr:row>
      <xdr:rowOff>1844</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8307</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95809</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87653</xdr:rowOff>
    </xdr:from>
    <xdr:to>
      <xdr:col>5</xdr:col>
      <xdr:colOff>112955</xdr:colOff>
      <xdr:row>105</xdr:row>
      <xdr:rowOff>26574</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63649</xdr:rowOff>
    </xdr:from>
    <xdr:to>
      <xdr:col>5</xdr:col>
      <xdr:colOff>112955</xdr:colOff>
      <xdr:row>106</xdr:row>
      <xdr:rowOff>1844</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26578</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105335</xdr:colOff>
      <xdr:row>101</xdr:row>
      <xdr:rowOff>8307</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105335</xdr:colOff>
      <xdr:row>102</xdr:row>
      <xdr:rowOff>95809</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87653</xdr:rowOff>
    </xdr:from>
    <xdr:to>
      <xdr:col>5</xdr:col>
      <xdr:colOff>105335</xdr:colOff>
      <xdr:row>105</xdr:row>
      <xdr:rowOff>26574</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63649</xdr:rowOff>
    </xdr:from>
    <xdr:to>
      <xdr:col>5</xdr:col>
      <xdr:colOff>105335</xdr:colOff>
      <xdr:row>106</xdr:row>
      <xdr:rowOff>1844</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105335</xdr:colOff>
      <xdr:row>94</xdr:row>
      <xdr:rowOff>164121</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105335</xdr:colOff>
      <xdr:row>95</xdr:row>
      <xdr:rowOff>104872</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105335</xdr:colOff>
      <xdr:row>96</xdr:row>
      <xdr:rowOff>154445</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105335</xdr:colOff>
      <xdr:row>97</xdr:row>
      <xdr:rowOff>122874</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25433</xdr:rowOff>
    </xdr:from>
    <xdr:to>
      <xdr:col>5</xdr:col>
      <xdr:colOff>287804</xdr:colOff>
      <xdr:row>95</xdr:row>
      <xdr:rowOff>125192</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8914</xdr:rowOff>
    </xdr:from>
    <xdr:to>
      <xdr:col>5</xdr:col>
      <xdr:colOff>105335</xdr:colOff>
      <xdr:row>92</xdr:row>
      <xdr:rowOff>104786</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145980</xdr:rowOff>
    </xdr:from>
    <xdr:to>
      <xdr:col>5</xdr:col>
      <xdr:colOff>105335</xdr:colOff>
      <xdr:row>194</xdr:row>
      <xdr:rowOff>86468</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105335</xdr:colOff>
      <xdr:row>194</xdr:row>
      <xdr:rowOff>140106</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86318</xdr:rowOff>
    </xdr:from>
    <xdr:to>
      <xdr:col>5</xdr:col>
      <xdr:colOff>105335</xdr:colOff>
      <xdr:row>198</xdr:row>
      <xdr:rowOff>26760</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85833</xdr:rowOff>
    </xdr:from>
    <xdr:to>
      <xdr:col>5</xdr:col>
      <xdr:colOff>105335</xdr:colOff>
      <xdr:row>199</xdr:row>
      <xdr:rowOff>8982</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105335</xdr:colOff>
      <xdr:row>140</xdr:row>
      <xdr:rowOff>123148</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120730</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25945</xdr:rowOff>
    </xdr:from>
    <xdr:to>
      <xdr:col>5</xdr:col>
      <xdr:colOff>105335</xdr:colOff>
      <xdr:row>186</xdr:row>
      <xdr:rowOff>1351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25944</xdr:rowOff>
    </xdr:from>
    <xdr:to>
      <xdr:col>5</xdr:col>
      <xdr:colOff>105335</xdr:colOff>
      <xdr:row>187</xdr:row>
      <xdr:rowOff>60247</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139954</xdr:rowOff>
    </xdr:from>
    <xdr:to>
      <xdr:col>5</xdr:col>
      <xdr:colOff>287804</xdr:colOff>
      <xdr:row>95</xdr:row>
      <xdr:rowOff>82647</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60</xdr:row>
      <xdr:rowOff>294142</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57</xdr:row>
      <xdr:rowOff>26461</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56</xdr:row>
      <xdr:rowOff>379446</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255308</xdr:rowOff>
    </xdr:from>
    <xdr:to>
      <xdr:col>5</xdr:col>
      <xdr:colOff>105335</xdr:colOff>
      <xdr:row>58</xdr:row>
      <xdr:rowOff>267083</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10074</xdr:rowOff>
    </xdr:from>
    <xdr:to>
      <xdr:col>5</xdr:col>
      <xdr:colOff>105335</xdr:colOff>
      <xdr:row>71</xdr:row>
      <xdr:rowOff>30826</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73</xdr:row>
      <xdr:rowOff>172329</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173325</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74</xdr:row>
      <xdr:rowOff>173325</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7644</xdr:rowOff>
    </xdr:from>
    <xdr:to>
      <xdr:col>5</xdr:col>
      <xdr:colOff>105335</xdr:colOff>
      <xdr:row>92</xdr:row>
      <xdr:rowOff>63831</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105335</xdr:colOff>
      <xdr:row>194</xdr:row>
      <xdr:rowOff>86468</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194</xdr:row>
      <xdr:rowOff>151657</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198</xdr:row>
      <xdr:rowOff>1515</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64246</xdr:rowOff>
    </xdr:from>
    <xdr:to>
      <xdr:col>5</xdr:col>
      <xdr:colOff>105335</xdr:colOff>
      <xdr:row>199</xdr:row>
      <xdr:rowOff>8347</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25999</xdr:rowOff>
    </xdr:from>
    <xdr:to>
      <xdr:col>5</xdr:col>
      <xdr:colOff>105335</xdr:colOff>
      <xdr:row>140</xdr:row>
      <xdr:rowOff>123148</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121365</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7065</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187</xdr:row>
      <xdr:rowOff>60247</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48626</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48626</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57</xdr:row>
      <xdr:rowOff>247626</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105335</xdr:colOff>
      <xdr:row>57</xdr:row>
      <xdr:rowOff>152245</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105335</xdr:colOff>
      <xdr:row>59</xdr:row>
      <xdr:rowOff>47894</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72</xdr:row>
      <xdr:rowOff>9832</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104564</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75</xdr:row>
      <xdr:rowOff>125709</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105178</xdr:rowOff>
    </xdr:from>
    <xdr:to>
      <xdr:col>5</xdr:col>
      <xdr:colOff>105335</xdr:colOff>
      <xdr:row>75</xdr:row>
      <xdr:rowOff>125709</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170677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105335</xdr:colOff>
      <xdr:row>186</xdr:row>
      <xdr:rowOff>59160</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181951</xdr:rowOff>
    </xdr:from>
    <xdr:to>
      <xdr:col>5</xdr:col>
      <xdr:colOff>105335</xdr:colOff>
      <xdr:row>188</xdr:row>
      <xdr:rowOff>27462</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48626</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48626</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57</xdr:row>
      <xdr:rowOff>247626</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105335</xdr:colOff>
      <xdr:row>57</xdr:row>
      <xdr:rowOff>152245</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105335</xdr:colOff>
      <xdr:row>59</xdr:row>
      <xdr:rowOff>47894</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9812</xdr:rowOff>
    </xdr:from>
    <xdr:to>
      <xdr:col>5</xdr:col>
      <xdr:colOff>105335</xdr:colOff>
      <xdr:row>72</xdr:row>
      <xdr:rowOff>9832</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159119</xdr:rowOff>
    </xdr:from>
    <xdr:to>
      <xdr:col>5</xdr:col>
      <xdr:colOff>105335</xdr:colOff>
      <xdr:row>74</xdr:row>
      <xdr:rowOff>104564</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161571</xdr:rowOff>
    </xdr:from>
    <xdr:to>
      <xdr:col>5</xdr:col>
      <xdr:colOff>105335</xdr:colOff>
      <xdr:row>75</xdr:row>
      <xdr:rowOff>125709</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105178</xdr:rowOff>
    </xdr:from>
    <xdr:to>
      <xdr:col>5</xdr:col>
      <xdr:colOff>105335</xdr:colOff>
      <xdr:row>75</xdr:row>
      <xdr:rowOff>125709</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170677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105335</xdr:colOff>
      <xdr:row>186</xdr:row>
      <xdr:rowOff>59160</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181951</xdr:rowOff>
    </xdr:from>
    <xdr:to>
      <xdr:col>5</xdr:col>
      <xdr:colOff>105335</xdr:colOff>
      <xdr:row>188</xdr:row>
      <xdr:rowOff>27462</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335076</xdr:rowOff>
    </xdr:from>
    <xdr:to>
      <xdr:col>5</xdr:col>
      <xdr:colOff>124385</xdr:colOff>
      <xdr:row>58</xdr:row>
      <xdr:rowOff>265193</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124385</xdr:colOff>
      <xdr:row>57</xdr:row>
      <xdr:rowOff>341193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124385</xdr:colOff>
      <xdr:row>59</xdr:row>
      <xdr:rowOff>286824</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124385</xdr:colOff>
      <xdr:row>59</xdr:row>
      <xdr:rowOff>101630</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125496</xdr:rowOff>
    </xdr:from>
    <xdr:to>
      <xdr:col>5</xdr:col>
      <xdr:colOff>124385</xdr:colOff>
      <xdr:row>61</xdr:row>
      <xdr:rowOff>28493</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312844</xdr:rowOff>
    </xdr:from>
    <xdr:to>
      <xdr:col>5</xdr:col>
      <xdr:colOff>124385</xdr:colOff>
      <xdr:row>60</xdr:row>
      <xdr:rowOff>260334</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105997</xdr:rowOff>
    </xdr:from>
    <xdr:to>
      <xdr:col>5</xdr:col>
      <xdr:colOff>124385</xdr:colOff>
      <xdr:row>62</xdr:row>
      <xdr:rowOff>154684</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124385</xdr:colOff>
      <xdr:row>61</xdr:row>
      <xdr:rowOff>172483</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68287</xdr:rowOff>
    </xdr:from>
    <xdr:to>
      <xdr:col>5</xdr:col>
      <xdr:colOff>124385</xdr:colOff>
      <xdr:row>64</xdr:row>
      <xdr:rowOff>180602</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313283</xdr:rowOff>
    </xdr:from>
    <xdr:to>
      <xdr:col>5</xdr:col>
      <xdr:colOff>124385</xdr:colOff>
      <xdr:row>64</xdr:row>
      <xdr:rowOff>1519</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47329</xdr:rowOff>
    </xdr:from>
    <xdr:to>
      <xdr:col>5</xdr:col>
      <xdr:colOff>124385</xdr:colOff>
      <xdr:row>82</xdr:row>
      <xdr:rowOff>49523</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46011</xdr:rowOff>
    </xdr:from>
    <xdr:to>
      <xdr:col>5</xdr:col>
      <xdr:colOff>124385</xdr:colOff>
      <xdr:row>81</xdr:row>
      <xdr:rowOff>78493</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84</xdr:row>
      <xdr:rowOff>372442</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84</xdr:row>
      <xdr:rowOff>210548</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171824</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85</xdr:row>
      <xdr:rowOff>158908</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124385</xdr:colOff>
      <xdr:row>109</xdr:row>
      <xdr:rowOff>85482</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219393</xdr:rowOff>
    </xdr:from>
    <xdr:to>
      <xdr:col>5</xdr:col>
      <xdr:colOff>124385</xdr:colOff>
      <xdr:row>108</xdr:row>
      <xdr:rowOff>67311</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139820</xdr:rowOff>
    </xdr:from>
    <xdr:to>
      <xdr:col>5</xdr:col>
      <xdr:colOff>124385</xdr:colOff>
      <xdr:row>110</xdr:row>
      <xdr:rowOff>26150</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114</xdr:row>
      <xdr:rowOff>125480</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335076</xdr:rowOff>
    </xdr:from>
    <xdr:to>
      <xdr:col>5</xdr:col>
      <xdr:colOff>124385</xdr:colOff>
      <xdr:row>58</xdr:row>
      <xdr:rowOff>265193</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124385</xdr:colOff>
      <xdr:row>57</xdr:row>
      <xdr:rowOff>341193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124385</xdr:colOff>
      <xdr:row>59</xdr:row>
      <xdr:rowOff>286824</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124385</xdr:colOff>
      <xdr:row>59</xdr:row>
      <xdr:rowOff>101630</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125496</xdr:rowOff>
    </xdr:from>
    <xdr:to>
      <xdr:col>5</xdr:col>
      <xdr:colOff>124385</xdr:colOff>
      <xdr:row>61</xdr:row>
      <xdr:rowOff>28493</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312844</xdr:rowOff>
    </xdr:from>
    <xdr:to>
      <xdr:col>5</xdr:col>
      <xdr:colOff>124385</xdr:colOff>
      <xdr:row>60</xdr:row>
      <xdr:rowOff>260334</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105997</xdr:rowOff>
    </xdr:from>
    <xdr:to>
      <xdr:col>5</xdr:col>
      <xdr:colOff>124385</xdr:colOff>
      <xdr:row>62</xdr:row>
      <xdr:rowOff>154684</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124385</xdr:colOff>
      <xdr:row>61</xdr:row>
      <xdr:rowOff>172483</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68287</xdr:rowOff>
    </xdr:from>
    <xdr:to>
      <xdr:col>5</xdr:col>
      <xdr:colOff>124385</xdr:colOff>
      <xdr:row>64</xdr:row>
      <xdr:rowOff>180602</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313283</xdr:rowOff>
    </xdr:from>
    <xdr:to>
      <xdr:col>5</xdr:col>
      <xdr:colOff>124385</xdr:colOff>
      <xdr:row>64</xdr:row>
      <xdr:rowOff>1519</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47329</xdr:rowOff>
    </xdr:from>
    <xdr:to>
      <xdr:col>5</xdr:col>
      <xdr:colOff>124385</xdr:colOff>
      <xdr:row>82</xdr:row>
      <xdr:rowOff>49523</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46011</xdr:rowOff>
    </xdr:from>
    <xdr:to>
      <xdr:col>5</xdr:col>
      <xdr:colOff>124385</xdr:colOff>
      <xdr:row>81</xdr:row>
      <xdr:rowOff>78493</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84</xdr:row>
      <xdr:rowOff>372442</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84</xdr:row>
      <xdr:rowOff>210548</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171824</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85</xdr:row>
      <xdr:rowOff>158908</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124385</xdr:colOff>
      <xdr:row>109</xdr:row>
      <xdr:rowOff>85482</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219393</xdr:rowOff>
    </xdr:from>
    <xdr:to>
      <xdr:col>5</xdr:col>
      <xdr:colOff>124385</xdr:colOff>
      <xdr:row>108</xdr:row>
      <xdr:rowOff>67311</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139820</xdr:rowOff>
    </xdr:from>
    <xdr:to>
      <xdr:col>5</xdr:col>
      <xdr:colOff>124385</xdr:colOff>
      <xdr:row>110</xdr:row>
      <xdr:rowOff>26150</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114</xdr:row>
      <xdr:rowOff>125480</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335076</xdr:rowOff>
    </xdr:from>
    <xdr:to>
      <xdr:col>5</xdr:col>
      <xdr:colOff>124385</xdr:colOff>
      <xdr:row>58</xdr:row>
      <xdr:rowOff>265193</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124385</xdr:colOff>
      <xdr:row>57</xdr:row>
      <xdr:rowOff>341193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124385</xdr:colOff>
      <xdr:row>59</xdr:row>
      <xdr:rowOff>286824</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124385</xdr:colOff>
      <xdr:row>59</xdr:row>
      <xdr:rowOff>101630</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125496</xdr:rowOff>
    </xdr:from>
    <xdr:to>
      <xdr:col>5</xdr:col>
      <xdr:colOff>124385</xdr:colOff>
      <xdr:row>61</xdr:row>
      <xdr:rowOff>28493</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312844</xdr:rowOff>
    </xdr:from>
    <xdr:to>
      <xdr:col>5</xdr:col>
      <xdr:colOff>124385</xdr:colOff>
      <xdr:row>60</xdr:row>
      <xdr:rowOff>260334</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105997</xdr:rowOff>
    </xdr:from>
    <xdr:to>
      <xdr:col>5</xdr:col>
      <xdr:colOff>124385</xdr:colOff>
      <xdr:row>62</xdr:row>
      <xdr:rowOff>154684</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124385</xdr:colOff>
      <xdr:row>61</xdr:row>
      <xdr:rowOff>172483</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68287</xdr:rowOff>
    </xdr:from>
    <xdr:to>
      <xdr:col>5</xdr:col>
      <xdr:colOff>124385</xdr:colOff>
      <xdr:row>64</xdr:row>
      <xdr:rowOff>180602</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313283</xdr:rowOff>
    </xdr:from>
    <xdr:to>
      <xdr:col>5</xdr:col>
      <xdr:colOff>124385</xdr:colOff>
      <xdr:row>64</xdr:row>
      <xdr:rowOff>1519</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47329</xdr:rowOff>
    </xdr:from>
    <xdr:to>
      <xdr:col>5</xdr:col>
      <xdr:colOff>124385</xdr:colOff>
      <xdr:row>82</xdr:row>
      <xdr:rowOff>49523</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46011</xdr:rowOff>
    </xdr:from>
    <xdr:to>
      <xdr:col>5</xdr:col>
      <xdr:colOff>124385</xdr:colOff>
      <xdr:row>81</xdr:row>
      <xdr:rowOff>78493</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84</xdr:row>
      <xdr:rowOff>372442</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84</xdr:row>
      <xdr:rowOff>210548</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171824</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85</xdr:row>
      <xdr:rowOff>158908</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124385</xdr:colOff>
      <xdr:row>109</xdr:row>
      <xdr:rowOff>85482</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219393</xdr:rowOff>
    </xdr:from>
    <xdr:to>
      <xdr:col>5</xdr:col>
      <xdr:colOff>124385</xdr:colOff>
      <xdr:row>108</xdr:row>
      <xdr:rowOff>67311</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139820</xdr:rowOff>
    </xdr:from>
    <xdr:to>
      <xdr:col>5</xdr:col>
      <xdr:colOff>124385</xdr:colOff>
      <xdr:row>110</xdr:row>
      <xdr:rowOff>26150</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114</xdr:row>
      <xdr:rowOff>125480</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122515</xdr:rowOff>
    </xdr:from>
    <xdr:to>
      <xdr:col>5</xdr:col>
      <xdr:colOff>105335</xdr:colOff>
      <xdr:row>224</xdr:row>
      <xdr:rowOff>104258</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105335</xdr:colOff>
      <xdr:row>224</xdr:row>
      <xdr:rowOff>26736</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105335</xdr:colOff>
      <xdr:row>225</xdr:row>
      <xdr:rowOff>104258</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105335</xdr:colOff>
      <xdr:row>213</xdr:row>
      <xdr:rowOff>28060</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28059</xdr:rowOff>
    </xdr:from>
    <xdr:to>
      <xdr:col>5</xdr:col>
      <xdr:colOff>105335</xdr:colOff>
      <xdr:row>190</xdr:row>
      <xdr:rowOff>145768</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82926</xdr:rowOff>
    </xdr:from>
    <xdr:to>
      <xdr:col>5</xdr:col>
      <xdr:colOff>105335</xdr:colOff>
      <xdr:row>191</xdr:row>
      <xdr:rowOff>141797</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105335</xdr:colOff>
      <xdr:row>192</xdr:row>
      <xdr:rowOff>160055</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160440</xdr:rowOff>
    </xdr:from>
    <xdr:to>
      <xdr:col>5</xdr:col>
      <xdr:colOff>105335</xdr:colOff>
      <xdr:row>199</xdr:row>
      <xdr:rowOff>95530</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473409</xdr:rowOff>
    </xdr:from>
    <xdr:to>
      <xdr:col>5</xdr:col>
      <xdr:colOff>124385</xdr:colOff>
      <xdr:row>57</xdr:row>
      <xdr:rowOff>341193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177931</xdr:rowOff>
    </xdr:from>
    <xdr:to>
      <xdr:col>5</xdr:col>
      <xdr:colOff>124385</xdr:colOff>
      <xdr:row>58</xdr:row>
      <xdr:rowOff>131895</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341193</xdr:rowOff>
    </xdr:from>
    <xdr:to>
      <xdr:col>5</xdr:col>
      <xdr:colOff>124385</xdr:colOff>
      <xdr:row>59</xdr:row>
      <xdr:rowOff>254572</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131895</xdr:rowOff>
    </xdr:from>
    <xdr:to>
      <xdr:col>5</xdr:col>
      <xdr:colOff>124385</xdr:colOff>
      <xdr:row>60</xdr:row>
      <xdr:rowOff>83618</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317052</xdr:rowOff>
    </xdr:from>
    <xdr:to>
      <xdr:col>5</xdr:col>
      <xdr:colOff>124385</xdr:colOff>
      <xdr:row>60</xdr:row>
      <xdr:rowOff>236398</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124385</xdr:colOff>
      <xdr:row>76</xdr:row>
      <xdr:rowOff>314127</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84692</xdr:rowOff>
    </xdr:from>
    <xdr:to>
      <xdr:col>5</xdr:col>
      <xdr:colOff>124385</xdr:colOff>
      <xdr:row>77</xdr:row>
      <xdr:rowOff>103337</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124385</xdr:colOff>
      <xdr:row>78</xdr:row>
      <xdr:rowOff>101714</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50524</xdr:rowOff>
    </xdr:from>
    <xdr:to>
      <xdr:col>5</xdr:col>
      <xdr:colOff>124385</xdr:colOff>
      <xdr:row>79</xdr:row>
      <xdr:rowOff>93673</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105550</xdr:rowOff>
    </xdr:from>
    <xdr:to>
      <xdr:col>5</xdr:col>
      <xdr:colOff>124385</xdr:colOff>
      <xdr:row>100</xdr:row>
      <xdr:rowOff>25706</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106060</xdr:rowOff>
    </xdr:from>
    <xdr:to>
      <xdr:col>5</xdr:col>
      <xdr:colOff>124385</xdr:colOff>
      <xdr:row>100</xdr:row>
      <xdr:rowOff>149233</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122730</xdr:rowOff>
    </xdr:from>
    <xdr:to>
      <xdr:col>5</xdr:col>
      <xdr:colOff>124385</xdr:colOff>
      <xdr:row>101</xdr:row>
      <xdr:rowOff>86597</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120973</xdr:rowOff>
    </xdr:from>
    <xdr:to>
      <xdr:col>5</xdr:col>
      <xdr:colOff>124385</xdr:colOff>
      <xdr:row>101</xdr:row>
      <xdr:rowOff>125544</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224</xdr:row>
      <xdr:rowOff>78220</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105335</xdr:colOff>
      <xdr:row>224</xdr:row>
      <xdr:rowOff>1651</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105335</xdr:colOff>
      <xdr:row>225</xdr:row>
      <xdr:rowOff>78220</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213</xdr:row>
      <xdr:rowOff>1650</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105335</xdr:colOff>
      <xdr:row>190</xdr:row>
      <xdr:rowOff>145769</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104259</xdr:rowOff>
    </xdr:from>
    <xdr:to>
      <xdr:col>5</xdr:col>
      <xdr:colOff>105335</xdr:colOff>
      <xdr:row>191</xdr:row>
      <xdr:rowOff>141797</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163230</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162437</xdr:rowOff>
    </xdr:from>
    <xdr:to>
      <xdr:col>5</xdr:col>
      <xdr:colOff>105335</xdr:colOff>
      <xdr:row>199</xdr:row>
      <xdr:rowOff>78477</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333709</xdr:rowOff>
    </xdr:from>
    <xdr:to>
      <xdr:col>5</xdr:col>
      <xdr:colOff>105335</xdr:colOff>
      <xdr:row>56</xdr:row>
      <xdr:rowOff>7043</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177931</xdr:rowOff>
    </xdr:from>
    <xdr:to>
      <xdr:col>5</xdr:col>
      <xdr:colOff>105335</xdr:colOff>
      <xdr:row>57</xdr:row>
      <xdr:rowOff>44584</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341193</xdr:rowOff>
    </xdr:from>
    <xdr:to>
      <xdr:col>5</xdr:col>
      <xdr:colOff>105335</xdr:colOff>
      <xdr:row>60</xdr:row>
      <xdr:rowOff>27589</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124897</xdr:rowOff>
    </xdr:from>
    <xdr:to>
      <xdr:col>5</xdr:col>
      <xdr:colOff>105335</xdr:colOff>
      <xdr:row>61</xdr:row>
      <xdr:rowOff>162216</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317052</xdr:rowOff>
    </xdr:from>
    <xdr:to>
      <xdr:col>5</xdr:col>
      <xdr:colOff>105335</xdr:colOff>
      <xdr:row>63</xdr:row>
      <xdr:rowOff>136495</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145548</xdr:rowOff>
    </xdr:from>
    <xdr:to>
      <xdr:col>5</xdr:col>
      <xdr:colOff>105335</xdr:colOff>
      <xdr:row>76</xdr:row>
      <xdr:rowOff>314127</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105335</xdr:colOff>
      <xdr:row>77</xdr:row>
      <xdr:rowOff>103337</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105335</xdr:colOff>
      <xdr:row>78</xdr:row>
      <xdr:rowOff>101714</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26064</xdr:rowOff>
    </xdr:from>
    <xdr:to>
      <xdr:col>5</xdr:col>
      <xdr:colOff>105335</xdr:colOff>
      <xdr:row>79</xdr:row>
      <xdr:rowOff>93673</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88882</xdr:rowOff>
    </xdr:from>
    <xdr:to>
      <xdr:col>5</xdr:col>
      <xdr:colOff>105335</xdr:colOff>
      <xdr:row>100</xdr:row>
      <xdr:rowOff>78772</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105335</xdr:colOff>
      <xdr:row>100</xdr:row>
      <xdr:rowOff>78772</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100</xdr:row>
      <xdr:rowOff>211646</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105335</xdr:colOff>
      <xdr:row>101</xdr:row>
      <xdr:rowOff>40927</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103466</xdr:rowOff>
    </xdr:from>
    <xdr:to>
      <xdr:col>5</xdr:col>
      <xdr:colOff>105335</xdr:colOff>
      <xdr:row>225</xdr:row>
      <xdr:rowOff>78220</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105335</xdr:colOff>
      <xdr:row>225</xdr:row>
      <xdr:rowOff>1650</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226</xdr:row>
      <xdr:rowOff>78221</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214</xdr:row>
      <xdr:rowOff>1650</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181487</xdr:rowOff>
    </xdr:from>
    <xdr:to>
      <xdr:col>5</xdr:col>
      <xdr:colOff>105335</xdr:colOff>
      <xdr:row>191</xdr:row>
      <xdr:rowOff>103463</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122516</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193</xdr:row>
      <xdr:rowOff>116959</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141797</xdr:rowOff>
    </xdr:from>
    <xdr:to>
      <xdr:col>5</xdr:col>
      <xdr:colOff>105335</xdr:colOff>
      <xdr:row>200</xdr:row>
      <xdr:rowOff>78475</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219215</xdr:rowOff>
    </xdr:from>
    <xdr:to>
      <xdr:col>5</xdr:col>
      <xdr:colOff>105335</xdr:colOff>
      <xdr:row>57</xdr:row>
      <xdr:rowOff>160558</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160558</xdr:rowOff>
    </xdr:from>
    <xdr:to>
      <xdr:col>5</xdr:col>
      <xdr:colOff>105335</xdr:colOff>
      <xdr:row>57</xdr:row>
      <xdr:rowOff>249645</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124897</xdr:rowOff>
    </xdr:from>
    <xdr:to>
      <xdr:col>5</xdr:col>
      <xdr:colOff>105335</xdr:colOff>
      <xdr:row>60</xdr:row>
      <xdr:rowOff>217203</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285884</xdr:rowOff>
    </xdr:from>
    <xdr:to>
      <xdr:col>5</xdr:col>
      <xdr:colOff>105335</xdr:colOff>
      <xdr:row>62</xdr:row>
      <xdr:rowOff>68430</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105187</xdr:rowOff>
    </xdr:from>
    <xdr:to>
      <xdr:col>5</xdr:col>
      <xdr:colOff>105335</xdr:colOff>
      <xdr:row>64</xdr:row>
      <xdr:rowOff>107091</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105335</xdr:colOff>
      <xdr:row>77</xdr:row>
      <xdr:rowOff>103337</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105335</xdr:colOff>
      <xdr:row>78</xdr:row>
      <xdr:rowOff>101714</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26064</xdr:rowOff>
    </xdr:from>
    <xdr:to>
      <xdr:col>5</xdr:col>
      <xdr:colOff>105335</xdr:colOff>
      <xdr:row>79</xdr:row>
      <xdr:rowOff>93673</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190610</xdr:rowOff>
    </xdr:from>
    <xdr:to>
      <xdr:col>5</xdr:col>
      <xdr:colOff>105335</xdr:colOff>
      <xdr:row>80</xdr:row>
      <xdr:rowOff>111580</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105335</xdr:colOff>
      <xdr:row>101</xdr:row>
      <xdr:rowOff>74744</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74744</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122489</xdr:rowOff>
    </xdr:from>
    <xdr:to>
      <xdr:col>5</xdr:col>
      <xdr:colOff>105335</xdr:colOff>
      <xdr:row>101</xdr:row>
      <xdr:rowOff>76332</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84155</xdr:rowOff>
    </xdr:from>
    <xdr:to>
      <xdr:col>5</xdr:col>
      <xdr:colOff>105335</xdr:colOff>
      <xdr:row>101</xdr:row>
      <xdr:rowOff>197542</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21</xdr:row>
      <xdr:rowOff>496980</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83467</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120</xdr:row>
      <xdr:rowOff>172490</xdr:rowOff>
    </xdr:from>
    <xdr:to>
      <xdr:col>21</xdr:col>
      <xdr:colOff>277541</xdr:colOff>
      <xdr:row>125</xdr:row>
      <xdr:rowOff>9008</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105335</xdr:colOff>
      <xdr:row>250</xdr:row>
      <xdr:rowOff>78222</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250</xdr:row>
      <xdr:rowOff>1650</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105335</xdr:colOff>
      <xdr:row>251</xdr:row>
      <xdr:rowOff>78219</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105335</xdr:colOff>
      <xdr:row>239</xdr:row>
      <xdr:rowOff>1650</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145768</xdr:rowOff>
    </xdr:from>
    <xdr:to>
      <xdr:col>5</xdr:col>
      <xdr:colOff>105335</xdr:colOff>
      <xdr:row>216</xdr:row>
      <xdr:rowOff>1649</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217</xdr:row>
      <xdr:rowOff>20121</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105335</xdr:colOff>
      <xdr:row>218</xdr:row>
      <xdr:rowOff>78221</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105335</xdr:colOff>
      <xdr:row>225</xdr:row>
      <xdr:rowOff>20121</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44968</xdr:rowOff>
    </xdr:from>
    <xdr:to>
      <xdr:col>5</xdr:col>
      <xdr:colOff>105335</xdr:colOff>
      <xdr:row>79</xdr:row>
      <xdr:rowOff>180</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44968</xdr:rowOff>
    </xdr:from>
    <xdr:to>
      <xdr:col>5</xdr:col>
      <xdr:colOff>105335</xdr:colOff>
      <xdr:row>80</xdr:row>
      <xdr:rowOff>88448</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160215</xdr:rowOff>
    </xdr:from>
    <xdr:to>
      <xdr:col>5</xdr:col>
      <xdr:colOff>105335</xdr:colOff>
      <xdr:row>81</xdr:row>
      <xdr:rowOff>452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9567</xdr:rowOff>
    </xdr:from>
    <xdr:to>
      <xdr:col>5</xdr:col>
      <xdr:colOff>105335</xdr:colOff>
      <xdr:row>83</xdr:row>
      <xdr:rowOff>152197</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122799</xdr:rowOff>
    </xdr:from>
    <xdr:to>
      <xdr:col>5</xdr:col>
      <xdr:colOff>105335</xdr:colOff>
      <xdr:row>88</xdr:row>
      <xdr:rowOff>92450</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31201</xdr:rowOff>
    </xdr:from>
    <xdr:to>
      <xdr:col>5</xdr:col>
      <xdr:colOff>105335</xdr:colOff>
      <xdr:row>100</xdr:row>
      <xdr:rowOff>105103</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26685</xdr:rowOff>
    </xdr:from>
    <xdr:to>
      <xdr:col>5</xdr:col>
      <xdr:colOff>105335</xdr:colOff>
      <xdr:row>101</xdr:row>
      <xdr:rowOff>8181</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46531</xdr:rowOff>
    </xdr:from>
    <xdr:to>
      <xdr:col>5</xdr:col>
      <xdr:colOff>105335</xdr:colOff>
      <xdr:row>101</xdr:row>
      <xdr:rowOff>221357</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105335</xdr:colOff>
      <xdr:row>102</xdr:row>
      <xdr:rowOff>178336</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105335</xdr:colOff>
      <xdr:row>125</xdr:row>
      <xdr:rowOff>6362</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105335</xdr:colOff>
      <xdr:row>125</xdr:row>
      <xdr:rowOff>6362</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126749</xdr:rowOff>
    </xdr:from>
    <xdr:to>
      <xdr:col>5</xdr:col>
      <xdr:colOff>105335</xdr:colOff>
      <xdr:row>125</xdr:row>
      <xdr:rowOff>6362</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105335</xdr:colOff>
      <xdr:row>125</xdr:row>
      <xdr:rowOff>6362</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83467</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145</xdr:row>
      <xdr:rowOff>97936</xdr:rowOff>
    </xdr:from>
    <xdr:to>
      <xdr:col>21</xdr:col>
      <xdr:colOff>277541</xdr:colOff>
      <xdr:row>149</xdr:row>
      <xdr:rowOff>141826</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67991</xdr:rowOff>
    </xdr:from>
    <xdr:to>
      <xdr:col>5</xdr:col>
      <xdr:colOff>105335</xdr:colOff>
      <xdr:row>246</xdr:row>
      <xdr:rowOff>67992</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105335</xdr:colOff>
      <xdr:row>246</xdr:row>
      <xdr:rowOff>6628</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105335</xdr:colOff>
      <xdr:row>247</xdr:row>
      <xdr:rowOff>67991</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235</xdr:row>
      <xdr:rowOff>6628</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105335</xdr:colOff>
      <xdr:row>212</xdr:row>
      <xdr:rowOff>6628</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213</xdr:row>
      <xdr:rowOff>45522</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105335</xdr:colOff>
      <xdr:row>214</xdr:row>
      <xdr:rowOff>67991</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221</xdr:row>
      <xdr:rowOff>45521</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76</xdr:row>
      <xdr:rowOff>21332</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76</xdr:row>
      <xdr:rowOff>259090</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105335</xdr:colOff>
      <xdr:row>77</xdr:row>
      <xdr:rowOff>27263</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7590</xdr:rowOff>
    </xdr:from>
    <xdr:to>
      <xdr:col>5</xdr:col>
      <xdr:colOff>105335</xdr:colOff>
      <xdr:row>80</xdr:row>
      <xdr:rowOff>65672</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333177</xdr:rowOff>
    </xdr:from>
    <xdr:to>
      <xdr:col>5</xdr:col>
      <xdr:colOff>105335</xdr:colOff>
      <xdr:row>84</xdr:row>
      <xdr:rowOff>276852</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64268</xdr:rowOff>
    </xdr:from>
    <xdr:to>
      <xdr:col>5</xdr:col>
      <xdr:colOff>105335</xdr:colOff>
      <xdr:row>96</xdr:row>
      <xdr:rowOff>105266</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25759</xdr:rowOff>
    </xdr:from>
    <xdr:to>
      <xdr:col>5</xdr:col>
      <xdr:colOff>105335</xdr:colOff>
      <xdr:row>97</xdr:row>
      <xdr:rowOff>121936</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105335</xdr:colOff>
      <xdr:row>98</xdr:row>
      <xdr:rowOff>122489</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8656</xdr:rowOff>
    </xdr:from>
    <xdr:to>
      <xdr:col>5</xdr:col>
      <xdr:colOff>105335</xdr:colOff>
      <xdr:row>99</xdr:row>
      <xdr:rowOff>121523</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27658</xdr:rowOff>
    </xdr:from>
    <xdr:to>
      <xdr:col>5</xdr:col>
      <xdr:colOff>105335</xdr:colOff>
      <xdr:row>121</xdr:row>
      <xdr:rowOff>25559</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12284</xdr:rowOff>
    </xdr:from>
    <xdr:to>
      <xdr:col>5</xdr:col>
      <xdr:colOff>105335</xdr:colOff>
      <xdr:row>121</xdr:row>
      <xdr:rowOff>25559</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181166</xdr:rowOff>
    </xdr:from>
    <xdr:to>
      <xdr:col>5</xdr:col>
      <xdr:colOff>105335</xdr:colOff>
      <xdr:row>121</xdr:row>
      <xdr:rowOff>25559</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105335</xdr:colOff>
      <xdr:row>121</xdr:row>
      <xdr:rowOff>25559</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22178</xdr:rowOff>
    </xdr:from>
    <xdr:to>
      <xdr:col>21</xdr:col>
      <xdr:colOff>277541</xdr:colOff>
      <xdr:row>30</xdr:row>
      <xdr:rowOff>25525</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141</xdr:row>
      <xdr:rowOff>78093</xdr:rowOff>
    </xdr:from>
    <xdr:to>
      <xdr:col>21</xdr:col>
      <xdr:colOff>277541</xdr:colOff>
      <xdr:row>145</xdr:row>
      <xdr:rowOff>107461</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8623</xdr:rowOff>
    </xdr:from>
    <xdr:to>
      <xdr:col>16</xdr:col>
      <xdr:colOff>201709</xdr:colOff>
      <xdr:row>37</xdr:row>
      <xdr:rowOff>95671</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105335</xdr:colOff>
      <xdr:row>223</xdr:row>
      <xdr:rowOff>105848</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105335</xdr:colOff>
      <xdr:row>223</xdr:row>
      <xdr:rowOff>20916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68784</xdr:rowOff>
    </xdr:from>
    <xdr:to>
      <xdr:col>5</xdr:col>
      <xdr:colOff>105335</xdr:colOff>
      <xdr:row>224</xdr:row>
      <xdr:rowOff>105846</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212</xdr:row>
      <xdr:rowOff>20916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145767</xdr:rowOff>
    </xdr:from>
    <xdr:to>
      <xdr:col>5</xdr:col>
      <xdr:colOff>105335</xdr:colOff>
      <xdr:row>190</xdr:row>
      <xdr:rowOff>63</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44729</xdr:rowOff>
    </xdr:from>
    <xdr:to>
      <xdr:col>5</xdr:col>
      <xdr:colOff>105335</xdr:colOff>
      <xdr:row>191</xdr:row>
      <xdr:rowOff>1652</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857</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198</xdr:row>
      <xdr:rowOff>122516</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56</xdr:row>
      <xdr:rowOff>211278</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75781</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372362</xdr:rowOff>
    </xdr:from>
    <xdr:to>
      <xdr:col>5</xdr:col>
      <xdr:colOff>105335</xdr:colOff>
      <xdr:row>58</xdr:row>
      <xdr:rowOff>45010</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230328</xdr:rowOff>
    </xdr:from>
    <xdr:to>
      <xdr:col>5</xdr:col>
      <xdr:colOff>105335</xdr:colOff>
      <xdr:row>60</xdr:row>
      <xdr:rowOff>8565</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170789</xdr:rowOff>
    </xdr:from>
    <xdr:to>
      <xdr:col>5</xdr:col>
      <xdr:colOff>105335</xdr:colOff>
      <xdr:row>64</xdr:row>
      <xdr:rowOff>25894</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105335</xdr:colOff>
      <xdr:row>75</xdr:row>
      <xdr:rowOff>77611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45761</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76</xdr:row>
      <xdr:rowOff>258296</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78507</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64778</xdr:rowOff>
    </xdr:from>
    <xdr:to>
      <xdr:col>5</xdr:col>
      <xdr:colOff>105335</xdr:colOff>
      <xdr:row>99</xdr:row>
      <xdr:rowOff>106208</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99</xdr:row>
      <xdr:rowOff>106208</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99</xdr:row>
      <xdr:rowOff>106208</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105335</xdr:colOff>
      <xdr:row>99</xdr:row>
      <xdr:rowOff>106208</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1330</xdr:rowOff>
    </xdr:from>
    <xdr:to>
      <xdr:col>21</xdr:col>
      <xdr:colOff>277541</xdr:colOff>
      <xdr:row>123</xdr:row>
      <xdr:rowOff>19475</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77927</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170220</xdr:rowOff>
    </xdr:from>
    <xdr:to>
      <xdr:col>22</xdr:col>
      <xdr:colOff>448990</xdr:colOff>
      <xdr:row>32</xdr:row>
      <xdr:rowOff>29026</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123</xdr:row>
      <xdr:rowOff>6631</xdr:rowOff>
    </xdr:from>
    <xdr:to>
      <xdr:col>22</xdr:col>
      <xdr:colOff>448990</xdr:colOff>
      <xdr:row>126</xdr:row>
      <xdr:rowOff>139711</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105335</xdr:colOff>
      <xdr:row>57</xdr:row>
      <xdr:rowOff>102768</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105335</xdr:colOff>
      <xdr:row>58</xdr:row>
      <xdr:rowOff>324196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26568</xdr:rowOff>
    </xdr:from>
    <xdr:to>
      <xdr:col>5</xdr:col>
      <xdr:colOff>105335</xdr:colOff>
      <xdr:row>59</xdr:row>
      <xdr:rowOff>228404</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64668</xdr:rowOff>
    </xdr:from>
    <xdr:to>
      <xdr:col>5</xdr:col>
      <xdr:colOff>105335</xdr:colOff>
      <xdr:row>61</xdr:row>
      <xdr:rowOff>124867</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105335</xdr:colOff>
      <xdr:row>65</xdr:row>
      <xdr:rowOff>29766</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45761</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76</xdr:row>
      <xdr:rowOff>258296</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78507</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78</xdr:row>
      <xdr:rowOff>123145</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65227</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105335</xdr:colOff>
      <xdr:row>57</xdr:row>
      <xdr:rowOff>102768</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105335</xdr:colOff>
      <xdr:row>58</xdr:row>
      <xdr:rowOff>324196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26568</xdr:rowOff>
    </xdr:from>
    <xdr:to>
      <xdr:col>5</xdr:col>
      <xdr:colOff>105335</xdr:colOff>
      <xdr:row>59</xdr:row>
      <xdr:rowOff>228404</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64668</xdr:rowOff>
    </xdr:from>
    <xdr:to>
      <xdr:col>5</xdr:col>
      <xdr:colOff>105335</xdr:colOff>
      <xdr:row>61</xdr:row>
      <xdr:rowOff>124867</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105335</xdr:colOff>
      <xdr:row>65</xdr:row>
      <xdr:rowOff>29766</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45761</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76</xdr:row>
      <xdr:rowOff>258296</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78507</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78</xdr:row>
      <xdr:rowOff>123145</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65227</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105335</xdr:colOff>
      <xdr:row>57</xdr:row>
      <xdr:rowOff>102768</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105335</xdr:colOff>
      <xdr:row>58</xdr:row>
      <xdr:rowOff>324196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26568</xdr:rowOff>
    </xdr:from>
    <xdr:to>
      <xdr:col>5</xdr:col>
      <xdr:colOff>105335</xdr:colOff>
      <xdr:row>59</xdr:row>
      <xdr:rowOff>228404</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64668</xdr:rowOff>
    </xdr:from>
    <xdr:to>
      <xdr:col>5</xdr:col>
      <xdr:colOff>105335</xdr:colOff>
      <xdr:row>61</xdr:row>
      <xdr:rowOff>124867</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105335</xdr:colOff>
      <xdr:row>65</xdr:row>
      <xdr:rowOff>29766</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45761</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76</xdr:row>
      <xdr:rowOff>258296</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77</xdr:row>
      <xdr:rowOff>78507</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78</xdr:row>
      <xdr:rowOff>123145</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22</xdr:row>
      <xdr:rowOff>65227</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85621</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57</xdr:row>
      <xdr:rowOff>160557</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66</xdr:row>
      <xdr:rowOff>68576</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105335</xdr:colOff>
      <xdr:row>70</xdr:row>
      <xdr:rowOff>29160</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105335</xdr:colOff>
      <xdr:row>70</xdr:row>
      <xdr:rowOff>48210</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105335</xdr:colOff>
      <xdr:row>70</xdr:row>
      <xdr:rowOff>25985</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105335</xdr:colOff>
      <xdr:row>81</xdr:row>
      <xdr:rowOff>105628</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258296</xdr:rowOff>
    </xdr:from>
    <xdr:to>
      <xdr:col>5</xdr:col>
      <xdr:colOff>105335</xdr:colOff>
      <xdr:row>81</xdr:row>
      <xdr:rowOff>19523</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31231</xdr:rowOff>
    </xdr:from>
    <xdr:to>
      <xdr:col>5</xdr:col>
      <xdr:colOff>105335</xdr:colOff>
      <xdr:row>83</xdr:row>
      <xdr:rowOff>85656</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102750</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105335</xdr:colOff>
      <xdr:row>105</xdr:row>
      <xdr:rowOff>130785</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178492</xdr:rowOff>
    </xdr:from>
    <xdr:to>
      <xdr:col>5</xdr:col>
      <xdr:colOff>105335</xdr:colOff>
      <xdr:row>105</xdr:row>
      <xdr:rowOff>88635</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105335</xdr:colOff>
      <xdr:row>105</xdr:row>
      <xdr:rowOff>88635</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18826</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65227</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22</xdr:row>
      <xdr:rowOff>142221</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102347</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486297</xdr:colOff>
      <xdr:row>133</xdr:row>
      <xdr:rowOff>85998</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57</xdr:row>
      <xdr:rowOff>160557</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66</xdr:row>
      <xdr:rowOff>68576</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105335</xdr:colOff>
      <xdr:row>70</xdr:row>
      <xdr:rowOff>45035</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105335</xdr:colOff>
      <xdr:row>70</xdr:row>
      <xdr:rowOff>79000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105335</xdr:colOff>
      <xdr:row>70</xdr:row>
      <xdr:rowOff>25985</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105335</xdr:colOff>
      <xdr:row>81</xdr:row>
      <xdr:rowOff>105628</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258296</xdr:rowOff>
    </xdr:from>
    <xdr:to>
      <xdr:col>5</xdr:col>
      <xdr:colOff>105335</xdr:colOff>
      <xdr:row>81</xdr:row>
      <xdr:rowOff>25727</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31231</xdr:rowOff>
    </xdr:from>
    <xdr:to>
      <xdr:col>5</xdr:col>
      <xdr:colOff>105335</xdr:colOff>
      <xdr:row>83</xdr:row>
      <xdr:rowOff>85656</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77944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105335</xdr:colOff>
      <xdr:row>105</xdr:row>
      <xdr:rowOff>130785</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178492</xdr:rowOff>
    </xdr:from>
    <xdr:to>
      <xdr:col>5</xdr:col>
      <xdr:colOff>105335</xdr:colOff>
      <xdr:row>105</xdr:row>
      <xdr:rowOff>88635</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105335</xdr:colOff>
      <xdr:row>105</xdr:row>
      <xdr:rowOff>88635</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65227</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142221</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57</xdr:row>
      <xdr:rowOff>160557</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66</xdr:row>
      <xdr:rowOff>68576</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105335</xdr:colOff>
      <xdr:row>70</xdr:row>
      <xdr:rowOff>45035</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105335</xdr:colOff>
      <xdr:row>70</xdr:row>
      <xdr:rowOff>79000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105335</xdr:colOff>
      <xdr:row>70</xdr:row>
      <xdr:rowOff>25985</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105335</xdr:colOff>
      <xdr:row>81</xdr:row>
      <xdr:rowOff>105628</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258296</xdr:rowOff>
    </xdr:from>
    <xdr:to>
      <xdr:col>5</xdr:col>
      <xdr:colOff>105335</xdr:colOff>
      <xdr:row>81</xdr:row>
      <xdr:rowOff>25727</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31231</xdr:rowOff>
    </xdr:from>
    <xdr:to>
      <xdr:col>5</xdr:col>
      <xdr:colOff>105335</xdr:colOff>
      <xdr:row>83</xdr:row>
      <xdr:rowOff>85656</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77944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105335</xdr:colOff>
      <xdr:row>105</xdr:row>
      <xdr:rowOff>130785</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178492</xdr:rowOff>
    </xdr:from>
    <xdr:to>
      <xdr:col>5</xdr:col>
      <xdr:colOff>105335</xdr:colOff>
      <xdr:row>105</xdr:row>
      <xdr:rowOff>88635</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105335</xdr:colOff>
      <xdr:row>105</xdr:row>
      <xdr:rowOff>88635</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65227</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142221</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57</xdr:row>
      <xdr:rowOff>160557</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105335</xdr:colOff>
      <xdr:row>66</xdr:row>
      <xdr:rowOff>68576</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105335</xdr:colOff>
      <xdr:row>70</xdr:row>
      <xdr:rowOff>45035</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105335</xdr:colOff>
      <xdr:row>70</xdr:row>
      <xdr:rowOff>79000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105335</xdr:colOff>
      <xdr:row>70</xdr:row>
      <xdr:rowOff>25985</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105335</xdr:colOff>
      <xdr:row>81</xdr:row>
      <xdr:rowOff>105628</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258296</xdr:rowOff>
    </xdr:from>
    <xdr:to>
      <xdr:col>5</xdr:col>
      <xdr:colOff>105335</xdr:colOff>
      <xdr:row>81</xdr:row>
      <xdr:rowOff>25727</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31231</xdr:rowOff>
    </xdr:from>
    <xdr:to>
      <xdr:col>5</xdr:col>
      <xdr:colOff>105335</xdr:colOff>
      <xdr:row>83</xdr:row>
      <xdr:rowOff>85656</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31611</xdr:rowOff>
    </xdr:from>
    <xdr:to>
      <xdr:col>5</xdr:col>
      <xdr:colOff>105335</xdr:colOff>
      <xdr:row>84</xdr:row>
      <xdr:rowOff>77944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105335</xdr:colOff>
      <xdr:row>105</xdr:row>
      <xdr:rowOff>130785</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178492</xdr:rowOff>
    </xdr:from>
    <xdr:to>
      <xdr:col>5</xdr:col>
      <xdr:colOff>105335</xdr:colOff>
      <xdr:row>105</xdr:row>
      <xdr:rowOff>88635</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105335</xdr:colOff>
      <xdr:row>105</xdr:row>
      <xdr:rowOff>88635</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65227</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142221</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22</xdr:row>
      <xdr:rowOff>122377</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77117</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486297</xdr:colOff>
      <xdr:row>133</xdr:row>
      <xdr:rowOff>45814</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116714</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120683</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142347</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30825</xdr:rowOff>
    </xdr:from>
    <xdr:to>
      <xdr:col>5</xdr:col>
      <xdr:colOff>105335</xdr:colOff>
      <xdr:row>122</xdr:row>
      <xdr:rowOff>97647</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105335</xdr:colOff>
      <xdr:row>121</xdr:row>
      <xdr:rowOff>25825</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105335</xdr:colOff>
      <xdr:row>120</xdr:row>
      <xdr:rowOff>105318</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65227</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57</xdr:row>
      <xdr:rowOff>8779</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142221</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122377</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116714</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120683</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142347</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30825</xdr:rowOff>
    </xdr:from>
    <xdr:to>
      <xdr:col>5</xdr:col>
      <xdr:colOff>105335</xdr:colOff>
      <xdr:row>122</xdr:row>
      <xdr:rowOff>97647</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105335</xdr:colOff>
      <xdr:row>121</xdr:row>
      <xdr:rowOff>25825</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105335</xdr:colOff>
      <xdr:row>120</xdr:row>
      <xdr:rowOff>105318</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65227</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57</xdr:row>
      <xdr:rowOff>8779</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142221</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122377</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116714</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120683</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142347</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30825</xdr:rowOff>
    </xdr:from>
    <xdr:to>
      <xdr:col>5</xdr:col>
      <xdr:colOff>105335</xdr:colOff>
      <xdr:row>122</xdr:row>
      <xdr:rowOff>97647</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105335</xdr:colOff>
      <xdr:row>121</xdr:row>
      <xdr:rowOff>25825</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105335</xdr:colOff>
      <xdr:row>120</xdr:row>
      <xdr:rowOff>105318</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65227</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57</xdr:row>
      <xdr:rowOff>8779</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142221</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122377</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161966</xdr:rowOff>
    </xdr:from>
    <xdr:to>
      <xdr:col>5</xdr:col>
      <xdr:colOff>124385</xdr:colOff>
      <xdr:row>85</xdr:row>
      <xdr:rowOff>65698</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84</xdr:row>
      <xdr:rowOff>178280</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84</xdr:row>
      <xdr:rowOff>208853</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6359</xdr:rowOff>
    </xdr:from>
    <xdr:to>
      <xdr:col>5</xdr:col>
      <xdr:colOff>105335</xdr:colOff>
      <xdr:row>87</xdr:row>
      <xdr:rowOff>93575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178280</xdr:rowOff>
    </xdr:from>
    <xdr:to>
      <xdr:col>5</xdr:col>
      <xdr:colOff>105335</xdr:colOff>
      <xdr:row>95</xdr:row>
      <xdr:rowOff>63859</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105335</xdr:colOff>
      <xdr:row>95</xdr:row>
      <xdr:rowOff>146015</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105335</xdr:colOff>
      <xdr:row>97</xdr:row>
      <xdr:rowOff>153998</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75097</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142512</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121584</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161966</xdr:rowOff>
    </xdr:from>
    <xdr:to>
      <xdr:col>5</xdr:col>
      <xdr:colOff>124385</xdr:colOff>
      <xdr:row>85</xdr:row>
      <xdr:rowOff>65698</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84</xdr:row>
      <xdr:rowOff>178280</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84</xdr:row>
      <xdr:rowOff>208853</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6359</xdr:rowOff>
    </xdr:from>
    <xdr:to>
      <xdr:col>5</xdr:col>
      <xdr:colOff>105335</xdr:colOff>
      <xdr:row>87</xdr:row>
      <xdr:rowOff>93575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178280</xdr:rowOff>
    </xdr:from>
    <xdr:to>
      <xdr:col>5</xdr:col>
      <xdr:colOff>105335</xdr:colOff>
      <xdr:row>95</xdr:row>
      <xdr:rowOff>63859</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105335</xdr:colOff>
      <xdr:row>95</xdr:row>
      <xdr:rowOff>146015</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105335</xdr:colOff>
      <xdr:row>97</xdr:row>
      <xdr:rowOff>153998</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75097</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142512</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121584</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161966</xdr:rowOff>
    </xdr:from>
    <xdr:to>
      <xdr:col>5</xdr:col>
      <xdr:colOff>124385</xdr:colOff>
      <xdr:row>85</xdr:row>
      <xdr:rowOff>65698</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84</xdr:row>
      <xdr:rowOff>178280</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84</xdr:row>
      <xdr:rowOff>208853</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6359</xdr:rowOff>
    </xdr:from>
    <xdr:to>
      <xdr:col>5</xdr:col>
      <xdr:colOff>105335</xdr:colOff>
      <xdr:row>87</xdr:row>
      <xdr:rowOff>93575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178280</xdr:rowOff>
    </xdr:from>
    <xdr:to>
      <xdr:col>5</xdr:col>
      <xdr:colOff>105335</xdr:colOff>
      <xdr:row>95</xdr:row>
      <xdr:rowOff>63859</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105335</xdr:colOff>
      <xdr:row>95</xdr:row>
      <xdr:rowOff>146015</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105335</xdr:colOff>
      <xdr:row>97</xdr:row>
      <xdr:rowOff>153998</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75097</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142512</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121584</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105335</xdr:colOff>
      <xdr:row>239</xdr:row>
      <xdr:rowOff>121723</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105848</xdr:rowOff>
    </xdr:from>
    <xdr:to>
      <xdr:col>5</xdr:col>
      <xdr:colOff>105335</xdr:colOff>
      <xdr:row>239</xdr:row>
      <xdr:rowOff>58962</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240</xdr:row>
      <xdr:rowOff>121722</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105848</xdr:rowOff>
    </xdr:from>
    <xdr:to>
      <xdr:col>5</xdr:col>
      <xdr:colOff>105335</xdr:colOff>
      <xdr:row>228</xdr:row>
      <xdr:rowOff>58962</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105335</xdr:colOff>
      <xdr:row>205</xdr:row>
      <xdr:rowOff>58962</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206</xdr:row>
      <xdr:rowOff>121723</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105847</xdr:rowOff>
    </xdr:from>
    <xdr:to>
      <xdr:col>5</xdr:col>
      <xdr:colOff>105335</xdr:colOff>
      <xdr:row>207</xdr:row>
      <xdr:rowOff>121722</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105847</xdr:rowOff>
    </xdr:from>
    <xdr:to>
      <xdr:col>5</xdr:col>
      <xdr:colOff>105335</xdr:colOff>
      <xdr:row>214</xdr:row>
      <xdr:rowOff>121722</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200011</xdr:rowOff>
    </xdr:from>
    <xdr:to>
      <xdr:col>5</xdr:col>
      <xdr:colOff>105335</xdr:colOff>
      <xdr:row>65</xdr:row>
      <xdr:rowOff>200011</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140146</xdr:rowOff>
    </xdr:from>
    <xdr:to>
      <xdr:col>5</xdr:col>
      <xdr:colOff>124385</xdr:colOff>
      <xdr:row>88</xdr:row>
      <xdr:rowOff>84609</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200011</xdr:rowOff>
    </xdr:from>
    <xdr:to>
      <xdr:col>5</xdr:col>
      <xdr:colOff>105335</xdr:colOff>
      <xdr:row>86</xdr:row>
      <xdr:rowOff>22042</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9884</xdr:rowOff>
    </xdr:from>
    <xdr:to>
      <xdr:col>5</xdr:col>
      <xdr:colOff>105335</xdr:colOff>
      <xdr:row>86</xdr:row>
      <xdr:rowOff>49413</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10625</xdr:rowOff>
    </xdr:from>
    <xdr:to>
      <xdr:col>5</xdr:col>
      <xdr:colOff>105335</xdr:colOff>
      <xdr:row>88</xdr:row>
      <xdr:rowOff>112293</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236369</xdr:rowOff>
    </xdr:from>
    <xdr:to>
      <xdr:col>5</xdr:col>
      <xdr:colOff>105335</xdr:colOff>
      <xdr:row>97</xdr:row>
      <xdr:rowOff>76770</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368366</xdr:rowOff>
    </xdr:from>
    <xdr:to>
      <xdr:col>5</xdr:col>
      <xdr:colOff>105335</xdr:colOff>
      <xdr:row>96</xdr:row>
      <xdr:rowOff>64399</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105335</xdr:colOff>
      <xdr:row>96</xdr:row>
      <xdr:rowOff>140503</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111952</xdr:rowOff>
    </xdr:from>
    <xdr:to>
      <xdr:col>5</xdr:col>
      <xdr:colOff>105335</xdr:colOff>
      <xdr:row>98</xdr:row>
      <xdr:rowOff>123360</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64041</xdr:rowOff>
    </xdr:from>
    <xdr:to>
      <xdr:col>5</xdr:col>
      <xdr:colOff>105335</xdr:colOff>
      <xdr:row>119</xdr:row>
      <xdr:rowOff>21975</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116</xdr:row>
      <xdr:rowOff>121846</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105335</xdr:colOff>
      <xdr:row>116</xdr:row>
      <xdr:rowOff>87018</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105335</xdr:colOff>
      <xdr:row>116</xdr:row>
      <xdr:rowOff>87018</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135</xdr:row>
      <xdr:rowOff>7716</xdr:rowOff>
    </xdr:from>
    <xdr:to>
      <xdr:col>21</xdr:col>
      <xdr:colOff>257697</xdr:colOff>
      <xdr:row>139</xdr:row>
      <xdr:rowOff>1678</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139</xdr:row>
      <xdr:rowOff>1678</xdr:rowOff>
    </xdr:from>
    <xdr:to>
      <xdr:col>22</xdr:col>
      <xdr:colOff>429146</xdr:colOff>
      <xdr:row>142</xdr:row>
      <xdr:rowOff>161671</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467247</xdr:colOff>
      <xdr:row>143</xdr:row>
      <xdr:rowOff>66813</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22</xdr:row>
      <xdr:rowOff>121584</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8508</xdr:rowOff>
    </xdr:from>
    <xdr:to>
      <xdr:col>25</xdr:col>
      <xdr:colOff>467247</xdr:colOff>
      <xdr:row>143</xdr:row>
      <xdr:rowOff>60165</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83282</xdr:rowOff>
    </xdr:from>
    <xdr:to>
      <xdr:col>30</xdr:col>
      <xdr:colOff>439039</xdr:colOff>
      <xdr:row>29</xdr:row>
      <xdr:rowOff>145116</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467246</xdr:colOff>
      <xdr:row>33</xdr:row>
      <xdr:rowOff>152386</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105335</xdr:colOff>
      <xdr:row>57</xdr:row>
      <xdr:rowOff>341126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124385</xdr:colOff>
      <xdr:row>78</xdr:row>
      <xdr:rowOff>77690</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105335</xdr:colOff>
      <xdr:row>76</xdr:row>
      <xdr:rowOff>160538</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105335</xdr:colOff>
      <xdr:row>76</xdr:row>
      <xdr:rowOff>210015</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29996</xdr:rowOff>
    </xdr:from>
    <xdr:to>
      <xdr:col>5</xdr:col>
      <xdr:colOff>105335</xdr:colOff>
      <xdr:row>81</xdr:row>
      <xdr:rowOff>28043</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7604</xdr:rowOff>
    </xdr:from>
    <xdr:to>
      <xdr:col>5</xdr:col>
      <xdr:colOff>105335</xdr:colOff>
      <xdr:row>89</xdr:row>
      <xdr:rowOff>85701</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83396</xdr:rowOff>
    </xdr:from>
    <xdr:to>
      <xdr:col>5</xdr:col>
      <xdr:colOff>105335</xdr:colOff>
      <xdr:row>88</xdr:row>
      <xdr:rowOff>88316</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105335</xdr:colOff>
      <xdr:row>89</xdr:row>
      <xdr:rowOff>3151</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29734</xdr:rowOff>
    </xdr:from>
    <xdr:to>
      <xdr:col>5</xdr:col>
      <xdr:colOff>105335</xdr:colOff>
      <xdr:row>90</xdr:row>
      <xdr:rowOff>170868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182382</xdr:rowOff>
    </xdr:from>
    <xdr:to>
      <xdr:col>5</xdr:col>
      <xdr:colOff>105335</xdr:colOff>
      <xdr:row>106</xdr:row>
      <xdr:rowOff>141892</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106544</xdr:rowOff>
    </xdr:from>
    <xdr:to>
      <xdr:col>5</xdr:col>
      <xdr:colOff>105335</xdr:colOff>
      <xdr:row>106</xdr:row>
      <xdr:rowOff>141892</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105335</xdr:colOff>
      <xdr:row>106</xdr:row>
      <xdr:rowOff>141892</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121584</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467246</xdr:colOff>
      <xdr:row>33</xdr:row>
      <xdr:rowOff>152386</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44730</xdr:rowOff>
    </xdr:from>
    <xdr:to>
      <xdr:col>14</xdr:col>
      <xdr:colOff>362839</xdr:colOff>
      <xdr:row>59</xdr:row>
      <xdr:rowOff>323890</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352084</xdr:rowOff>
    </xdr:from>
    <xdr:to>
      <xdr:col>14</xdr:col>
      <xdr:colOff>447650</xdr:colOff>
      <xdr:row>64</xdr:row>
      <xdr:rowOff>88321</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59</xdr:row>
      <xdr:rowOff>209065</xdr:rowOff>
    </xdr:from>
    <xdr:to>
      <xdr:col>5</xdr:col>
      <xdr:colOff>297329</xdr:colOff>
      <xdr:row>61</xdr:row>
      <xdr:rowOff>142806</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105335</xdr:colOff>
      <xdr:row>57</xdr:row>
      <xdr:rowOff>341126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124385</xdr:colOff>
      <xdr:row>79</xdr:row>
      <xdr:rowOff>10353</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105335</xdr:colOff>
      <xdr:row>77</xdr:row>
      <xdr:rowOff>141527</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105335</xdr:colOff>
      <xdr:row>78</xdr:row>
      <xdr:rowOff>131</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29996</xdr:rowOff>
    </xdr:from>
    <xdr:to>
      <xdr:col>5</xdr:col>
      <xdr:colOff>105335</xdr:colOff>
      <xdr:row>81</xdr:row>
      <xdr:rowOff>8847</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7604</xdr:rowOff>
    </xdr:from>
    <xdr:to>
      <xdr:col>5</xdr:col>
      <xdr:colOff>105335</xdr:colOff>
      <xdr:row>89</xdr:row>
      <xdr:rowOff>85701</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83396</xdr:rowOff>
    </xdr:from>
    <xdr:to>
      <xdr:col>5</xdr:col>
      <xdr:colOff>105335</xdr:colOff>
      <xdr:row>88</xdr:row>
      <xdr:rowOff>88316</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105335</xdr:colOff>
      <xdr:row>88</xdr:row>
      <xdr:rowOff>170866</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29734</xdr:rowOff>
    </xdr:from>
    <xdr:to>
      <xdr:col>5</xdr:col>
      <xdr:colOff>105335</xdr:colOff>
      <xdr:row>90</xdr:row>
      <xdr:rowOff>170868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182382</xdr:rowOff>
    </xdr:from>
    <xdr:to>
      <xdr:col>5</xdr:col>
      <xdr:colOff>105335</xdr:colOff>
      <xdr:row>106</xdr:row>
      <xdr:rowOff>160942</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106544</xdr:rowOff>
    </xdr:from>
    <xdr:to>
      <xdr:col>5</xdr:col>
      <xdr:colOff>105335</xdr:colOff>
      <xdr:row>106</xdr:row>
      <xdr:rowOff>160942</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105335</xdr:colOff>
      <xdr:row>106</xdr:row>
      <xdr:rowOff>160942</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121584</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44730</xdr:rowOff>
    </xdr:from>
    <xdr:to>
      <xdr:col>14</xdr:col>
      <xdr:colOff>362839</xdr:colOff>
      <xdr:row>60</xdr:row>
      <xdr:rowOff>50141</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352084</xdr:rowOff>
    </xdr:from>
    <xdr:to>
      <xdr:col>14</xdr:col>
      <xdr:colOff>447650</xdr:colOff>
      <xdr:row>64</xdr:row>
      <xdr:rowOff>45075</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209065</xdr:rowOff>
    </xdr:from>
    <xdr:to>
      <xdr:col>5</xdr:col>
      <xdr:colOff>268754</xdr:colOff>
      <xdr:row>62</xdr:row>
      <xdr:rowOff>126391</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22</xdr:row>
      <xdr:rowOff>140634</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115048</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9139</xdr:rowOff>
    </xdr:from>
    <xdr:to>
      <xdr:col>26</xdr:col>
      <xdr:colOff>486298</xdr:colOff>
      <xdr:row>135</xdr:row>
      <xdr:rowOff>44857</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60</xdr:row>
      <xdr:rowOff>197897</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197897</xdr:rowOff>
    </xdr:from>
    <xdr:to>
      <xdr:col>5</xdr:col>
      <xdr:colOff>124385</xdr:colOff>
      <xdr:row>84</xdr:row>
      <xdr:rowOff>278274</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84</xdr:row>
      <xdr:rowOff>85015</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84</xdr:row>
      <xdr:rowOff>123115</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30650</xdr:rowOff>
    </xdr:from>
    <xdr:to>
      <xdr:col>5</xdr:col>
      <xdr:colOff>105335</xdr:colOff>
      <xdr:row>87</xdr:row>
      <xdr:rowOff>1235</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153788</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123801</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105335</xdr:colOff>
      <xdr:row>97</xdr:row>
      <xdr:rowOff>78732</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105335</xdr:colOff>
      <xdr:row>114</xdr:row>
      <xdr:rowOff>162360</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164589</xdr:rowOff>
    </xdr:from>
    <xdr:to>
      <xdr:col>5</xdr:col>
      <xdr:colOff>105335</xdr:colOff>
      <xdr:row>112</xdr:row>
      <xdr:rowOff>39178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145873</xdr:rowOff>
    </xdr:from>
    <xdr:to>
      <xdr:col>5</xdr:col>
      <xdr:colOff>105335</xdr:colOff>
      <xdr:row>111</xdr:row>
      <xdr:rowOff>169996</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107773</xdr:rowOff>
    </xdr:from>
    <xdr:to>
      <xdr:col>5</xdr:col>
      <xdr:colOff>105335</xdr:colOff>
      <xdr:row>111</xdr:row>
      <xdr:rowOff>169996</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121584</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197897</xdr:rowOff>
    </xdr:from>
    <xdr:to>
      <xdr:col>14</xdr:col>
      <xdr:colOff>362839</xdr:colOff>
      <xdr:row>60</xdr:row>
      <xdr:rowOff>255192</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447650</xdr:colOff>
      <xdr:row>74</xdr:row>
      <xdr:rowOff>67634</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172897</xdr:rowOff>
    </xdr:from>
    <xdr:to>
      <xdr:col>5</xdr:col>
      <xdr:colOff>268754</xdr:colOff>
      <xdr:row>72</xdr:row>
      <xdr:rowOff>1105</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140634</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486296</xdr:colOff>
      <xdr:row>22</xdr:row>
      <xdr:rowOff>140634</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486296</xdr:colOff>
      <xdr:row>33</xdr:row>
      <xdr:rowOff>115048</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9139</xdr:rowOff>
    </xdr:from>
    <xdr:to>
      <xdr:col>27</xdr:col>
      <xdr:colOff>486296</xdr:colOff>
      <xdr:row>139</xdr:row>
      <xdr:rowOff>27922</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60</xdr:row>
      <xdr:rowOff>197897</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197897</xdr:rowOff>
    </xdr:from>
    <xdr:to>
      <xdr:col>5</xdr:col>
      <xdr:colOff>124385</xdr:colOff>
      <xdr:row>84</xdr:row>
      <xdr:rowOff>278274</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84</xdr:row>
      <xdr:rowOff>85015</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84</xdr:row>
      <xdr:rowOff>126290</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30650</xdr:rowOff>
    </xdr:from>
    <xdr:to>
      <xdr:col>5</xdr:col>
      <xdr:colOff>105335</xdr:colOff>
      <xdr:row>87</xdr:row>
      <xdr:rowOff>8599</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153788</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126976</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105335</xdr:colOff>
      <xdr:row>97</xdr:row>
      <xdr:rowOff>78193</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105335</xdr:colOff>
      <xdr:row>114</xdr:row>
      <xdr:rowOff>162360</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164589</xdr:rowOff>
    </xdr:from>
    <xdr:to>
      <xdr:col>5</xdr:col>
      <xdr:colOff>105335</xdr:colOff>
      <xdr:row>112</xdr:row>
      <xdr:rowOff>45528</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145873</xdr:rowOff>
    </xdr:from>
    <xdr:to>
      <xdr:col>5</xdr:col>
      <xdr:colOff>105335</xdr:colOff>
      <xdr:row>111</xdr:row>
      <xdr:rowOff>169996</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107773</xdr:rowOff>
    </xdr:from>
    <xdr:to>
      <xdr:col>5</xdr:col>
      <xdr:colOff>105335</xdr:colOff>
      <xdr:row>111</xdr:row>
      <xdr:rowOff>169996</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121584</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197897</xdr:rowOff>
    </xdr:from>
    <xdr:to>
      <xdr:col>14</xdr:col>
      <xdr:colOff>362839</xdr:colOff>
      <xdr:row>60</xdr:row>
      <xdr:rowOff>255192</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447650</xdr:colOff>
      <xdr:row>74</xdr:row>
      <xdr:rowOff>67634</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140634</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22</xdr:row>
      <xdr:rowOff>140634</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486296</xdr:colOff>
      <xdr:row>139</xdr:row>
      <xdr:rowOff>27922</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60</xdr:row>
      <xdr:rowOff>197897</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197897</xdr:rowOff>
    </xdr:from>
    <xdr:to>
      <xdr:col>5</xdr:col>
      <xdr:colOff>124385</xdr:colOff>
      <xdr:row>84</xdr:row>
      <xdr:rowOff>278274</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84</xdr:row>
      <xdr:rowOff>85015</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197897</xdr:rowOff>
    </xdr:from>
    <xdr:to>
      <xdr:col>5</xdr:col>
      <xdr:colOff>105335</xdr:colOff>
      <xdr:row>84</xdr:row>
      <xdr:rowOff>126290</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30650</xdr:rowOff>
    </xdr:from>
    <xdr:to>
      <xdr:col>5</xdr:col>
      <xdr:colOff>105335</xdr:colOff>
      <xdr:row>87</xdr:row>
      <xdr:rowOff>8599</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153788</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126976</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105335</xdr:colOff>
      <xdr:row>97</xdr:row>
      <xdr:rowOff>78193</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105335</xdr:colOff>
      <xdr:row>114</xdr:row>
      <xdr:rowOff>162360</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164589</xdr:rowOff>
    </xdr:from>
    <xdr:to>
      <xdr:col>5</xdr:col>
      <xdr:colOff>105335</xdr:colOff>
      <xdr:row>112</xdr:row>
      <xdr:rowOff>45528</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145873</xdr:rowOff>
    </xdr:from>
    <xdr:to>
      <xdr:col>5</xdr:col>
      <xdr:colOff>105335</xdr:colOff>
      <xdr:row>111</xdr:row>
      <xdr:rowOff>169996</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107773</xdr:rowOff>
    </xdr:from>
    <xdr:to>
      <xdr:col>5</xdr:col>
      <xdr:colOff>105335</xdr:colOff>
      <xdr:row>111</xdr:row>
      <xdr:rowOff>169996</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121584</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197897</xdr:rowOff>
    </xdr:from>
    <xdr:to>
      <xdr:col>14</xdr:col>
      <xdr:colOff>362839</xdr:colOff>
      <xdr:row>60</xdr:row>
      <xdr:rowOff>255192</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447650</xdr:colOff>
      <xdr:row>74</xdr:row>
      <xdr:rowOff>67634</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140634</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22</xdr:row>
      <xdr:rowOff>140634</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486296</xdr:colOff>
      <xdr:row>139</xdr:row>
      <xdr:rowOff>27922</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64</xdr:row>
      <xdr:rowOff>1780</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124385</xdr:colOff>
      <xdr:row>89</xdr:row>
      <xdr:rowOff>44626</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88</xdr:row>
      <xdr:rowOff>26668</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88</xdr:row>
      <xdr:rowOff>75449</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183242</xdr:rowOff>
    </xdr:from>
    <xdr:to>
      <xdr:col>5</xdr:col>
      <xdr:colOff>105335</xdr:colOff>
      <xdr:row>90</xdr:row>
      <xdr:rowOff>1349</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160654</xdr:rowOff>
    </xdr:from>
    <xdr:to>
      <xdr:col>5</xdr:col>
      <xdr:colOff>105335</xdr:colOff>
      <xdr:row>99</xdr:row>
      <xdr:rowOff>44495</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85553</xdr:rowOff>
    </xdr:from>
    <xdr:to>
      <xdr:col>5</xdr:col>
      <xdr:colOff>105335</xdr:colOff>
      <xdr:row>97</xdr:row>
      <xdr:rowOff>68501</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198900</xdr:rowOff>
    </xdr:from>
    <xdr:to>
      <xdr:col>5</xdr:col>
      <xdr:colOff>105335</xdr:colOff>
      <xdr:row>97</xdr:row>
      <xdr:rowOff>152246</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11014</xdr:rowOff>
    </xdr:from>
    <xdr:to>
      <xdr:col>5</xdr:col>
      <xdr:colOff>105335</xdr:colOff>
      <xdr:row>101</xdr:row>
      <xdr:rowOff>7819</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92774</xdr:rowOff>
    </xdr:from>
    <xdr:to>
      <xdr:col>5</xdr:col>
      <xdr:colOff>105335</xdr:colOff>
      <xdr:row>118</xdr:row>
      <xdr:rowOff>63713</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87917</xdr:rowOff>
    </xdr:from>
    <xdr:to>
      <xdr:col>5</xdr:col>
      <xdr:colOff>105335</xdr:colOff>
      <xdr:row>115</xdr:row>
      <xdr:rowOff>1293</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5</xdr:col>
      <xdr:colOff>105335</xdr:colOff>
      <xdr:row>114</xdr:row>
      <xdr:rowOff>67670</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85302</xdr:rowOff>
    </xdr:from>
    <xdr:to>
      <xdr:col>5</xdr:col>
      <xdr:colOff>105335</xdr:colOff>
      <xdr:row>114</xdr:row>
      <xdr:rowOff>67670</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59771</xdr:rowOff>
    </xdr:from>
    <xdr:to>
      <xdr:col>21</xdr:col>
      <xdr:colOff>257697</xdr:colOff>
      <xdr:row>135</xdr:row>
      <xdr:rowOff>85877</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22</xdr:row>
      <xdr:rowOff>64434</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85877</xdr:rowOff>
    </xdr:from>
    <xdr:to>
      <xdr:col>22</xdr:col>
      <xdr:colOff>429146</xdr:colOff>
      <xdr:row>139</xdr:row>
      <xdr:rowOff>68236</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22</xdr:row>
      <xdr:rowOff>159684</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85877</xdr:rowOff>
    </xdr:from>
    <xdr:to>
      <xdr:col>24</xdr:col>
      <xdr:colOff>467247</xdr:colOff>
      <xdr:row>139</xdr:row>
      <xdr:rowOff>163093</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22</xdr:row>
      <xdr:rowOff>121584</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467247</xdr:colOff>
      <xdr:row>139</xdr:row>
      <xdr:rowOff>163093</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6757</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126092</xdr:rowOff>
    </xdr:from>
    <xdr:to>
      <xdr:col>14</xdr:col>
      <xdr:colOff>447650</xdr:colOff>
      <xdr:row>77</xdr:row>
      <xdr:rowOff>29734</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181034</xdr:rowOff>
    </xdr:from>
    <xdr:to>
      <xdr:col>5</xdr:col>
      <xdr:colOff>268754</xdr:colOff>
      <xdr:row>77</xdr:row>
      <xdr:rowOff>141527</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22</xdr:row>
      <xdr:rowOff>140634</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486298</xdr:colOff>
      <xdr:row>142</xdr:row>
      <xdr:rowOff>27922</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22</xdr:row>
      <xdr:rowOff>140634</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486296</xdr:colOff>
      <xdr:row>142</xdr:row>
      <xdr:rowOff>27922</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611982</xdr:colOff>
      <xdr:row>22</xdr:row>
      <xdr:rowOff>83484</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611982</xdr:colOff>
      <xdr:row>33</xdr:row>
      <xdr:rowOff>76948</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115047</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161772</xdr:rowOff>
    </xdr:from>
    <xdr:to>
      <xdr:col>9</xdr:col>
      <xdr:colOff>102160</xdr:colOff>
      <xdr:row>83</xdr:row>
      <xdr:rowOff>76381</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161772</xdr:rowOff>
    </xdr:from>
    <xdr:to>
      <xdr:col>9</xdr:col>
      <xdr:colOff>121210</xdr:colOff>
      <xdr:row>83</xdr:row>
      <xdr:rowOff>76381</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161772</xdr:rowOff>
    </xdr:from>
    <xdr:to>
      <xdr:col>9</xdr:col>
      <xdr:colOff>102160</xdr:colOff>
      <xdr:row>84</xdr:row>
      <xdr:rowOff>39388</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161772</xdr:rowOff>
    </xdr:from>
    <xdr:to>
      <xdr:col>9</xdr:col>
      <xdr:colOff>102160</xdr:colOff>
      <xdr:row>83</xdr:row>
      <xdr:rowOff>85014</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161017</xdr:rowOff>
    </xdr:from>
    <xdr:to>
      <xdr:col>9</xdr:col>
      <xdr:colOff>102160</xdr:colOff>
      <xdr:row>88</xdr:row>
      <xdr:rowOff>8942</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102160</xdr:colOff>
      <xdr:row>103</xdr:row>
      <xdr:rowOff>85235</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85015</xdr:rowOff>
    </xdr:from>
    <xdr:to>
      <xdr:col>9</xdr:col>
      <xdr:colOff>102160</xdr:colOff>
      <xdr:row>105</xdr:row>
      <xdr:rowOff>40295</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198755</xdr:rowOff>
    </xdr:from>
    <xdr:to>
      <xdr:col>9</xdr:col>
      <xdr:colOff>102160</xdr:colOff>
      <xdr:row>104</xdr:row>
      <xdr:rowOff>145873</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372964</xdr:rowOff>
    </xdr:from>
    <xdr:to>
      <xdr:col>9</xdr:col>
      <xdr:colOff>102160</xdr:colOff>
      <xdr:row>105</xdr:row>
      <xdr:rowOff>50413</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102299</xdr:rowOff>
    </xdr:from>
    <xdr:to>
      <xdr:col>9</xdr:col>
      <xdr:colOff>102160</xdr:colOff>
      <xdr:row>125</xdr:row>
      <xdr:rowOff>69295</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102160</xdr:colOff>
      <xdr:row>127</xdr:row>
      <xdr:rowOff>986</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9</xdr:col>
      <xdr:colOff>102160</xdr:colOff>
      <xdr:row>127</xdr:row>
      <xdr:rowOff>78988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102160</xdr:colOff>
      <xdr:row>127</xdr:row>
      <xdr:rowOff>78988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69296</xdr:rowOff>
    </xdr:from>
    <xdr:to>
      <xdr:col>24</xdr:col>
      <xdr:colOff>257697</xdr:colOff>
      <xdr:row>151</xdr:row>
      <xdr:rowOff>78988</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78988</xdr:rowOff>
    </xdr:from>
    <xdr:to>
      <xdr:col>25</xdr:col>
      <xdr:colOff>429147</xdr:colOff>
      <xdr:row>155</xdr:row>
      <xdr:rowOff>69295</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60</xdr:row>
      <xdr:rowOff>216947</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467246</xdr:colOff>
      <xdr:row>40</xdr:row>
      <xdr:rowOff>123452</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467246</xdr:colOff>
      <xdr:row>49</xdr:row>
      <xdr:rowOff>104401</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467246</xdr:colOff>
      <xdr:row>155</xdr:row>
      <xdr:rowOff>164151</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467246</xdr:colOff>
      <xdr:row>40</xdr:row>
      <xdr:rowOff>85352</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467246</xdr:colOff>
      <xdr:row>49</xdr:row>
      <xdr:rowOff>47251</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123438</xdr:rowOff>
    </xdr:from>
    <xdr:to>
      <xdr:col>29</xdr:col>
      <xdr:colOff>467246</xdr:colOff>
      <xdr:row>155</xdr:row>
      <xdr:rowOff>164151</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66</xdr:row>
      <xdr:rowOff>10541</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66</xdr:row>
      <xdr:rowOff>10541</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467247</xdr:colOff>
      <xdr:row>45</xdr:row>
      <xdr:rowOff>164166</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161772</xdr:rowOff>
    </xdr:from>
    <xdr:to>
      <xdr:col>18</xdr:col>
      <xdr:colOff>410406</xdr:colOff>
      <xdr:row>83</xdr:row>
      <xdr:rowOff>107239</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95303</xdr:rowOff>
    </xdr:from>
    <xdr:to>
      <xdr:col>18</xdr:col>
      <xdr:colOff>448506</xdr:colOff>
      <xdr:row>88</xdr:row>
      <xdr:rowOff>36932</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66</xdr:row>
      <xdr:rowOff>10541</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161983</xdr:rowOff>
    </xdr:from>
    <xdr:to>
      <xdr:col>8</xdr:col>
      <xdr:colOff>268754</xdr:colOff>
      <xdr:row>83</xdr:row>
      <xdr:rowOff>126289</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458089</xdr:colOff>
      <xdr:row>40</xdr:row>
      <xdr:rowOff>104402</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458089</xdr:colOff>
      <xdr:row>49</xdr:row>
      <xdr:rowOff>104401</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25806</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486297</xdr:colOff>
      <xdr:row>40</xdr:row>
      <xdr:rowOff>104402</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486297</xdr:colOff>
      <xdr:row>49</xdr:row>
      <xdr:rowOff>104401</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486297</xdr:colOff>
      <xdr:row>158</xdr:row>
      <xdr:rowOff>25806</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592933</xdr:colOff>
      <xdr:row>40</xdr:row>
      <xdr:rowOff>47252</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592933</xdr:colOff>
      <xdr:row>49</xdr:row>
      <xdr:rowOff>66301</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28201</xdr:rowOff>
    </xdr:from>
    <xdr:to>
      <xdr:col>41</xdr:col>
      <xdr:colOff>592933</xdr:colOff>
      <xdr:row>34</xdr:row>
      <xdr:rowOff>57897</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103887</xdr:rowOff>
    </xdr:from>
    <xdr:to>
      <xdr:col>9</xdr:col>
      <xdr:colOff>102160</xdr:colOff>
      <xdr:row>79</xdr:row>
      <xdr:rowOff>28919</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103887</xdr:rowOff>
    </xdr:from>
    <xdr:to>
      <xdr:col>9</xdr:col>
      <xdr:colOff>121210</xdr:colOff>
      <xdr:row>79</xdr:row>
      <xdr:rowOff>28919</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103887</xdr:rowOff>
    </xdr:from>
    <xdr:to>
      <xdr:col>9</xdr:col>
      <xdr:colOff>102160</xdr:colOff>
      <xdr:row>79</xdr:row>
      <xdr:rowOff>28919</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103887</xdr:rowOff>
    </xdr:from>
    <xdr:to>
      <xdr:col>9</xdr:col>
      <xdr:colOff>102160</xdr:colOff>
      <xdr:row>79</xdr:row>
      <xdr:rowOff>28919</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102160</xdr:colOff>
      <xdr:row>84</xdr:row>
      <xdr:rowOff>96256</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102160</xdr:colOff>
      <xdr:row>100</xdr:row>
      <xdr:rowOff>173441</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7840</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7673</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49115</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216955</xdr:rowOff>
    </xdr:from>
    <xdr:to>
      <xdr:col>9</xdr:col>
      <xdr:colOff>102160</xdr:colOff>
      <xdr:row>121</xdr:row>
      <xdr:rowOff>105446</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102160</xdr:colOff>
      <xdr:row>122</xdr:row>
      <xdr:rowOff>83221</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102160</xdr:colOff>
      <xdr:row>123</xdr:row>
      <xdr:rowOff>83221</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102160</xdr:colOff>
      <xdr:row>123</xdr:row>
      <xdr:rowOff>83221</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58</xdr:row>
      <xdr:rowOff>343928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140260</xdr:colOff>
      <xdr:row>41</xdr:row>
      <xdr:rowOff>123452</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140260</xdr:colOff>
      <xdr:row>50</xdr:row>
      <xdr:rowOff>104402</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140260</xdr:colOff>
      <xdr:row>151</xdr:row>
      <xdr:rowOff>105447</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140260</xdr:colOff>
      <xdr:row>41</xdr:row>
      <xdr:rowOff>85352</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140260</xdr:colOff>
      <xdr:row>50</xdr:row>
      <xdr:rowOff>47252</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140260</xdr:colOff>
      <xdr:row>151</xdr:row>
      <xdr:rowOff>105447</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61</xdr:row>
      <xdr:rowOff>172987</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61</xdr:row>
      <xdr:rowOff>172987</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145116</xdr:rowOff>
    </xdr:from>
    <xdr:to>
      <xdr:col>34</xdr:col>
      <xdr:colOff>140261</xdr:colOff>
      <xdr:row>46</xdr:row>
      <xdr:rowOff>145116</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103887</xdr:rowOff>
    </xdr:from>
    <xdr:to>
      <xdr:col>18</xdr:col>
      <xdr:colOff>64061</xdr:colOff>
      <xdr:row>79</xdr:row>
      <xdr:rowOff>28919</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102161</xdr:colOff>
      <xdr:row>84</xdr:row>
      <xdr:rowOff>181420</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61</xdr:row>
      <xdr:rowOff>172987</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162485</xdr:colOff>
      <xdr:row>41</xdr:row>
      <xdr:rowOff>104402</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162485</xdr:colOff>
      <xdr:row>50</xdr:row>
      <xdr:rowOff>104402</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162485</xdr:colOff>
      <xdr:row>154</xdr:row>
      <xdr:rowOff>671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162485</xdr:colOff>
      <xdr:row>41</xdr:row>
      <xdr:rowOff>104402</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162485</xdr:colOff>
      <xdr:row>50</xdr:row>
      <xdr:rowOff>104402</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162485</xdr:colOff>
      <xdr:row>154</xdr:row>
      <xdr:rowOff>671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306854</xdr:colOff>
      <xdr:row>41</xdr:row>
      <xdr:rowOff>47252</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306854</xdr:colOff>
      <xdr:row>50</xdr:row>
      <xdr:rowOff>66302</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28202</xdr:rowOff>
    </xdr:from>
    <xdr:to>
      <xdr:col>41</xdr:col>
      <xdr:colOff>306854</xdr:colOff>
      <xdr:row>35</xdr:row>
      <xdr:rowOff>47251</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162485</xdr:colOff>
      <xdr:row>138</xdr:row>
      <xdr:rowOff>7815</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103887</xdr:rowOff>
    </xdr:from>
    <xdr:to>
      <xdr:col>9</xdr:col>
      <xdr:colOff>102160</xdr:colOff>
      <xdr:row>79</xdr:row>
      <xdr:rowOff>28919</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103887</xdr:rowOff>
    </xdr:from>
    <xdr:to>
      <xdr:col>9</xdr:col>
      <xdr:colOff>121210</xdr:colOff>
      <xdr:row>79</xdr:row>
      <xdr:rowOff>28919</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103887</xdr:rowOff>
    </xdr:from>
    <xdr:to>
      <xdr:col>9</xdr:col>
      <xdr:colOff>102160</xdr:colOff>
      <xdr:row>79</xdr:row>
      <xdr:rowOff>28919</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103887</xdr:rowOff>
    </xdr:from>
    <xdr:to>
      <xdr:col>9</xdr:col>
      <xdr:colOff>102160</xdr:colOff>
      <xdr:row>79</xdr:row>
      <xdr:rowOff>28919</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102160</xdr:colOff>
      <xdr:row>84</xdr:row>
      <xdr:rowOff>96256</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102160</xdr:colOff>
      <xdr:row>100</xdr:row>
      <xdr:rowOff>173441</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7840</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7673</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49115</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216955</xdr:rowOff>
    </xdr:from>
    <xdr:to>
      <xdr:col>9</xdr:col>
      <xdr:colOff>102160</xdr:colOff>
      <xdr:row>121</xdr:row>
      <xdr:rowOff>105446</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102160</xdr:colOff>
      <xdr:row>122</xdr:row>
      <xdr:rowOff>83221</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102160</xdr:colOff>
      <xdr:row>123</xdr:row>
      <xdr:rowOff>83221</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102160</xdr:colOff>
      <xdr:row>123</xdr:row>
      <xdr:rowOff>83221</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58</xdr:row>
      <xdr:rowOff>343928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140260</xdr:colOff>
      <xdr:row>41</xdr:row>
      <xdr:rowOff>123452</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140260</xdr:colOff>
      <xdr:row>50</xdr:row>
      <xdr:rowOff>104402</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140260</xdr:colOff>
      <xdr:row>151</xdr:row>
      <xdr:rowOff>105447</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140260</xdr:colOff>
      <xdr:row>41</xdr:row>
      <xdr:rowOff>85352</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140260</xdr:colOff>
      <xdr:row>50</xdr:row>
      <xdr:rowOff>47252</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140260</xdr:colOff>
      <xdr:row>151</xdr:row>
      <xdr:rowOff>105447</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61</xdr:row>
      <xdr:rowOff>172987</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61</xdr:row>
      <xdr:rowOff>172987</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145116</xdr:rowOff>
    </xdr:from>
    <xdr:to>
      <xdr:col>34</xdr:col>
      <xdr:colOff>140261</xdr:colOff>
      <xdr:row>46</xdr:row>
      <xdr:rowOff>145116</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103887</xdr:rowOff>
    </xdr:from>
    <xdr:to>
      <xdr:col>18</xdr:col>
      <xdr:colOff>64061</xdr:colOff>
      <xdr:row>79</xdr:row>
      <xdr:rowOff>28919</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102161</xdr:colOff>
      <xdr:row>84</xdr:row>
      <xdr:rowOff>181420</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61</xdr:row>
      <xdr:rowOff>172987</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162485</xdr:colOff>
      <xdr:row>41</xdr:row>
      <xdr:rowOff>104402</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162485</xdr:colOff>
      <xdr:row>50</xdr:row>
      <xdr:rowOff>104402</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162485</xdr:colOff>
      <xdr:row>154</xdr:row>
      <xdr:rowOff>671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162485</xdr:colOff>
      <xdr:row>41</xdr:row>
      <xdr:rowOff>104402</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162485</xdr:colOff>
      <xdr:row>50</xdr:row>
      <xdr:rowOff>104402</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162485</xdr:colOff>
      <xdr:row>154</xdr:row>
      <xdr:rowOff>671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306854</xdr:colOff>
      <xdr:row>41</xdr:row>
      <xdr:rowOff>47252</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306854</xdr:colOff>
      <xdr:row>50</xdr:row>
      <xdr:rowOff>66302</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28202</xdr:rowOff>
    </xdr:from>
    <xdr:to>
      <xdr:col>41</xdr:col>
      <xdr:colOff>306854</xdr:colOff>
      <xdr:row>35</xdr:row>
      <xdr:rowOff>47251</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162485</xdr:colOff>
      <xdr:row>138</xdr:row>
      <xdr:rowOff>7815</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316939</xdr:rowOff>
    </xdr:from>
    <xdr:to>
      <xdr:col>9</xdr:col>
      <xdr:colOff>102160</xdr:colOff>
      <xdr:row>80</xdr:row>
      <xdr:rowOff>10430</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316940</xdr:rowOff>
    </xdr:from>
    <xdr:to>
      <xdr:col>9</xdr:col>
      <xdr:colOff>121210</xdr:colOff>
      <xdr:row>80</xdr:row>
      <xdr:rowOff>64238</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316940</xdr:rowOff>
    </xdr:from>
    <xdr:to>
      <xdr:col>9</xdr:col>
      <xdr:colOff>102160</xdr:colOff>
      <xdr:row>80</xdr:row>
      <xdr:rowOff>64238</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316940</xdr:rowOff>
    </xdr:from>
    <xdr:to>
      <xdr:col>9</xdr:col>
      <xdr:colOff>102160</xdr:colOff>
      <xdr:row>80</xdr:row>
      <xdr:rowOff>64238</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202747</xdr:rowOff>
    </xdr:from>
    <xdr:to>
      <xdr:col>9</xdr:col>
      <xdr:colOff>102160</xdr:colOff>
      <xdr:row>84</xdr:row>
      <xdr:rowOff>334053</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102160</xdr:colOff>
      <xdr:row>101</xdr:row>
      <xdr:rowOff>126342</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102160</xdr:colOff>
      <xdr:row>101</xdr:row>
      <xdr:rowOff>220923</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7814</xdr:rowOff>
    </xdr:from>
    <xdr:to>
      <xdr:col>9</xdr:col>
      <xdr:colOff>102160</xdr:colOff>
      <xdr:row>102</xdr:row>
      <xdr:rowOff>171263</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102160</xdr:colOff>
      <xdr:row>102</xdr:row>
      <xdr:rowOff>64974</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219822</xdr:rowOff>
    </xdr:from>
    <xdr:to>
      <xdr:col>9</xdr:col>
      <xdr:colOff>102160</xdr:colOff>
      <xdr:row>122</xdr:row>
      <xdr:rowOff>153304</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181623</xdr:rowOff>
    </xdr:from>
    <xdr:to>
      <xdr:col>9</xdr:col>
      <xdr:colOff>102160</xdr:colOff>
      <xdr:row>123</xdr:row>
      <xdr:rowOff>122115</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152616</xdr:rowOff>
    </xdr:from>
    <xdr:to>
      <xdr:col>9</xdr:col>
      <xdr:colOff>102160</xdr:colOff>
      <xdr:row>124</xdr:row>
      <xdr:rowOff>122115</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114516</xdr:rowOff>
    </xdr:from>
    <xdr:to>
      <xdr:col>9</xdr:col>
      <xdr:colOff>102160</xdr:colOff>
      <xdr:row>124</xdr:row>
      <xdr:rowOff>122115</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128</xdr:row>
      <xdr:rowOff>78556</xdr:rowOff>
    </xdr:from>
    <xdr:to>
      <xdr:col>23</xdr:col>
      <xdr:colOff>687855</xdr:colOff>
      <xdr:row>148</xdr:row>
      <xdr:rowOff>58448</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132</xdr:row>
      <xdr:rowOff>87190</xdr:rowOff>
    </xdr:from>
    <xdr:to>
      <xdr:col>25</xdr:col>
      <xdr:colOff>102161</xdr:colOff>
      <xdr:row>152</xdr:row>
      <xdr:rowOff>78557</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58</xdr:row>
      <xdr:rowOff>1494</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140260</xdr:colOff>
      <xdr:row>40</xdr:row>
      <xdr:rowOff>123452</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140260</xdr:colOff>
      <xdr:row>49</xdr:row>
      <xdr:rowOff>104401</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87190</xdr:rowOff>
    </xdr:from>
    <xdr:to>
      <xdr:col>28</xdr:col>
      <xdr:colOff>140260</xdr:colOff>
      <xdr:row>152</xdr:row>
      <xdr:rowOff>153305</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140260</xdr:colOff>
      <xdr:row>40</xdr:row>
      <xdr:rowOff>85352</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140260</xdr:colOff>
      <xdr:row>49</xdr:row>
      <xdr:rowOff>47251</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122115</xdr:rowOff>
    </xdr:from>
    <xdr:to>
      <xdr:col>29</xdr:col>
      <xdr:colOff>140260</xdr:colOff>
      <xdr:row>152</xdr:row>
      <xdr:rowOff>153305</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62</xdr:row>
      <xdr:rowOff>2536</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62</xdr:row>
      <xdr:rowOff>2536</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145117</xdr:rowOff>
    </xdr:from>
    <xdr:to>
      <xdr:col>34</xdr:col>
      <xdr:colOff>140261</xdr:colOff>
      <xdr:row>45</xdr:row>
      <xdr:rowOff>145116</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59</xdr:row>
      <xdr:rowOff>316939</xdr:rowOff>
    </xdr:from>
    <xdr:to>
      <xdr:col>18</xdr:col>
      <xdr:colOff>64061</xdr:colOff>
      <xdr:row>80</xdr:row>
      <xdr:rowOff>10430</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145597</xdr:rowOff>
    </xdr:from>
    <xdr:to>
      <xdr:col>18</xdr:col>
      <xdr:colOff>102161</xdr:colOff>
      <xdr:row>85</xdr:row>
      <xdr:rowOff>29253</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62</xdr:row>
      <xdr:rowOff>2536</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162485</xdr:colOff>
      <xdr:row>40</xdr:row>
      <xdr:rowOff>104402</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162485</xdr:colOff>
      <xdr:row>49</xdr:row>
      <xdr:rowOff>104401</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7815</xdr:rowOff>
    </xdr:from>
    <xdr:to>
      <xdr:col>30</xdr:col>
      <xdr:colOff>162485</xdr:colOff>
      <xdr:row>155</xdr:row>
      <xdr:rowOff>45915</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162485</xdr:colOff>
      <xdr:row>40</xdr:row>
      <xdr:rowOff>104402</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162485</xdr:colOff>
      <xdr:row>49</xdr:row>
      <xdr:rowOff>104401</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7815</xdr:rowOff>
    </xdr:from>
    <xdr:to>
      <xdr:col>31</xdr:col>
      <xdr:colOff>162485</xdr:colOff>
      <xdr:row>155</xdr:row>
      <xdr:rowOff>45915</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306854</xdr:colOff>
      <xdr:row>40</xdr:row>
      <xdr:rowOff>47252</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306854</xdr:colOff>
      <xdr:row>49</xdr:row>
      <xdr:rowOff>66301</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28201</xdr:rowOff>
    </xdr:from>
    <xdr:to>
      <xdr:col>41</xdr:col>
      <xdr:colOff>306854</xdr:colOff>
      <xdr:row>34</xdr:row>
      <xdr:rowOff>57897</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162485</xdr:colOff>
      <xdr:row>154</xdr:row>
      <xdr:rowOff>58448</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115047</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316939</xdr:rowOff>
    </xdr:from>
    <xdr:to>
      <xdr:col>9</xdr:col>
      <xdr:colOff>609600</xdr:colOff>
      <xdr:row>80</xdr:row>
      <xdr:rowOff>10430</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316940</xdr:rowOff>
    </xdr:from>
    <xdr:to>
      <xdr:col>9</xdr:col>
      <xdr:colOff>628650</xdr:colOff>
      <xdr:row>80</xdr:row>
      <xdr:rowOff>64238</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202747</xdr:rowOff>
    </xdr:from>
    <xdr:to>
      <xdr:col>9</xdr:col>
      <xdr:colOff>609600</xdr:colOff>
      <xdr:row>84</xdr:row>
      <xdr:rowOff>334053</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126342</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220923</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102</xdr:row>
      <xdr:rowOff>171263</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64974</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219822</xdr:rowOff>
    </xdr:from>
    <xdr:to>
      <xdr:col>9</xdr:col>
      <xdr:colOff>609600</xdr:colOff>
      <xdr:row>122</xdr:row>
      <xdr:rowOff>153304</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181623</xdr:rowOff>
    </xdr:from>
    <xdr:to>
      <xdr:col>9</xdr:col>
      <xdr:colOff>609600</xdr:colOff>
      <xdr:row>123</xdr:row>
      <xdr:rowOff>122115</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122115</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122115</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58</xdr:row>
      <xdr:rowOff>1494</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40</xdr:row>
      <xdr:rowOff>123452</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647700</xdr:colOff>
      <xdr:row>49</xdr:row>
      <xdr:rowOff>104401</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647700</xdr:colOff>
      <xdr:row>152</xdr:row>
      <xdr:rowOff>153305</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647700</xdr:colOff>
      <xdr:row>49</xdr:row>
      <xdr:rowOff>47251</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647700</xdr:colOff>
      <xdr:row>152</xdr:row>
      <xdr:rowOff>153305</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2536</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2536</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145117</xdr:rowOff>
    </xdr:from>
    <xdr:to>
      <xdr:col>34</xdr:col>
      <xdr:colOff>647700</xdr:colOff>
      <xdr:row>45</xdr:row>
      <xdr:rowOff>145116</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316939</xdr:rowOff>
    </xdr:from>
    <xdr:to>
      <xdr:col>18</xdr:col>
      <xdr:colOff>571500</xdr:colOff>
      <xdr:row>80</xdr:row>
      <xdr:rowOff>10430</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85</xdr:row>
      <xdr:rowOff>29253</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2536</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104402</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666750</xdr:colOff>
      <xdr:row>49</xdr:row>
      <xdr:rowOff>104401</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666750</xdr:colOff>
      <xdr:row>155</xdr:row>
      <xdr:rowOff>45915</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104402</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666750</xdr:colOff>
      <xdr:row>49</xdr:row>
      <xdr:rowOff>104401</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666750</xdr:colOff>
      <xdr:row>155</xdr:row>
      <xdr:rowOff>45915</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47252</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47252</xdr:rowOff>
    </xdr:from>
    <xdr:to>
      <xdr:col>32</xdr:col>
      <xdr:colOff>57150</xdr:colOff>
      <xdr:row>49</xdr:row>
      <xdr:rowOff>66301</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57897</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115047</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316939</xdr:rowOff>
    </xdr:from>
    <xdr:to>
      <xdr:col>9</xdr:col>
      <xdr:colOff>609600</xdr:colOff>
      <xdr:row>80</xdr:row>
      <xdr:rowOff>10430</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316940</xdr:rowOff>
    </xdr:from>
    <xdr:to>
      <xdr:col>9</xdr:col>
      <xdr:colOff>628650</xdr:colOff>
      <xdr:row>80</xdr:row>
      <xdr:rowOff>64238</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202747</xdr:rowOff>
    </xdr:from>
    <xdr:to>
      <xdr:col>9</xdr:col>
      <xdr:colOff>609600</xdr:colOff>
      <xdr:row>84</xdr:row>
      <xdr:rowOff>334053</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126342</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220923</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102</xdr:row>
      <xdr:rowOff>171263</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64974</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219822</xdr:rowOff>
    </xdr:from>
    <xdr:to>
      <xdr:col>9</xdr:col>
      <xdr:colOff>609600</xdr:colOff>
      <xdr:row>122</xdr:row>
      <xdr:rowOff>153304</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181623</xdr:rowOff>
    </xdr:from>
    <xdr:to>
      <xdr:col>9</xdr:col>
      <xdr:colOff>609600</xdr:colOff>
      <xdr:row>123</xdr:row>
      <xdr:rowOff>122115</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122115</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122115</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58</xdr:row>
      <xdr:rowOff>1494</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40</xdr:row>
      <xdr:rowOff>123452</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647700</xdr:colOff>
      <xdr:row>49</xdr:row>
      <xdr:rowOff>104401</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647700</xdr:colOff>
      <xdr:row>152</xdr:row>
      <xdr:rowOff>153305</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647700</xdr:colOff>
      <xdr:row>49</xdr:row>
      <xdr:rowOff>47251</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647700</xdr:colOff>
      <xdr:row>152</xdr:row>
      <xdr:rowOff>153305</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2536</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2536</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145117</xdr:rowOff>
    </xdr:from>
    <xdr:to>
      <xdr:col>34</xdr:col>
      <xdr:colOff>647700</xdr:colOff>
      <xdr:row>45</xdr:row>
      <xdr:rowOff>145116</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316939</xdr:rowOff>
    </xdr:from>
    <xdr:to>
      <xdr:col>18</xdr:col>
      <xdr:colOff>571500</xdr:colOff>
      <xdr:row>80</xdr:row>
      <xdr:rowOff>10430</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85</xdr:row>
      <xdr:rowOff>29253</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2536</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104402</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666750</xdr:colOff>
      <xdr:row>49</xdr:row>
      <xdr:rowOff>104401</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666750</xdr:colOff>
      <xdr:row>155</xdr:row>
      <xdr:rowOff>45915</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104402</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666750</xdr:colOff>
      <xdr:row>49</xdr:row>
      <xdr:rowOff>104401</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666750</xdr:colOff>
      <xdr:row>155</xdr:row>
      <xdr:rowOff>45915</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47252</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47252</xdr:rowOff>
    </xdr:from>
    <xdr:to>
      <xdr:col>32</xdr:col>
      <xdr:colOff>57150</xdr:colOff>
      <xdr:row>49</xdr:row>
      <xdr:rowOff>66301</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57897</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316939</xdr:rowOff>
    </xdr:from>
    <xdr:to>
      <xdr:col>9</xdr:col>
      <xdr:colOff>609600</xdr:colOff>
      <xdr:row>80</xdr:row>
      <xdr:rowOff>10430</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60</xdr:row>
      <xdr:rowOff>316940</xdr:rowOff>
    </xdr:from>
    <xdr:to>
      <xdr:col>9</xdr:col>
      <xdr:colOff>628650</xdr:colOff>
      <xdr:row>80</xdr:row>
      <xdr:rowOff>64238</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202747</xdr:rowOff>
    </xdr:from>
    <xdr:to>
      <xdr:col>9</xdr:col>
      <xdr:colOff>609600</xdr:colOff>
      <xdr:row>84</xdr:row>
      <xdr:rowOff>334053</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101</xdr:row>
      <xdr:rowOff>126342</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220923</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102</xdr:row>
      <xdr:rowOff>169582</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64974</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219822</xdr:rowOff>
    </xdr:from>
    <xdr:to>
      <xdr:col>9</xdr:col>
      <xdr:colOff>609600</xdr:colOff>
      <xdr:row>122</xdr:row>
      <xdr:rowOff>159654</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181623</xdr:rowOff>
    </xdr:from>
    <xdr:to>
      <xdr:col>9</xdr:col>
      <xdr:colOff>609600</xdr:colOff>
      <xdr:row>123</xdr:row>
      <xdr:rowOff>122115</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122115</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122115</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58</xdr:row>
      <xdr:rowOff>1494</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647700</xdr:colOff>
      <xdr:row>40</xdr:row>
      <xdr:rowOff>123452</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647700</xdr:colOff>
      <xdr:row>49</xdr:row>
      <xdr:rowOff>104401</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647700</xdr:colOff>
      <xdr:row>152</xdr:row>
      <xdr:rowOff>159655</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647700</xdr:colOff>
      <xdr:row>40</xdr:row>
      <xdr:rowOff>85352</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647700</xdr:colOff>
      <xdr:row>49</xdr:row>
      <xdr:rowOff>59951</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647700</xdr:colOff>
      <xdr:row>152</xdr:row>
      <xdr:rowOff>159655</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2536</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2536</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25</xdr:row>
      <xdr:rowOff>145117</xdr:rowOff>
    </xdr:from>
    <xdr:to>
      <xdr:col>34</xdr:col>
      <xdr:colOff>647700</xdr:colOff>
      <xdr:row>45</xdr:row>
      <xdr:rowOff>145116</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59</xdr:row>
      <xdr:rowOff>316939</xdr:rowOff>
    </xdr:from>
    <xdr:to>
      <xdr:col>18</xdr:col>
      <xdr:colOff>571500</xdr:colOff>
      <xdr:row>80</xdr:row>
      <xdr:rowOff>10430</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85</xdr:row>
      <xdr:rowOff>29253</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2536</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673100</xdr:colOff>
      <xdr:row>40</xdr:row>
      <xdr:rowOff>104402</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673100</xdr:colOff>
      <xdr:row>49</xdr:row>
      <xdr:rowOff>104401</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673100</xdr:colOff>
      <xdr:row>155</xdr:row>
      <xdr:rowOff>45915</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673100</xdr:colOff>
      <xdr:row>40</xdr:row>
      <xdr:rowOff>104402</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673100</xdr:colOff>
      <xdr:row>49</xdr:row>
      <xdr:rowOff>104401</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673100</xdr:colOff>
      <xdr:row>155</xdr:row>
      <xdr:rowOff>45915</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66301</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64247</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134</xdr:row>
      <xdr:rowOff>159655</xdr:rowOff>
    </xdr:from>
    <xdr:to>
      <xdr:col>32</xdr:col>
      <xdr:colOff>673100</xdr:colOff>
      <xdr:row>154</xdr:row>
      <xdr:rowOff>58448</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20</xdr:row>
      <xdr:rowOff>66301</xdr:rowOff>
    </xdr:from>
    <xdr:to>
      <xdr:col>33</xdr:col>
      <xdr:colOff>654050</xdr:colOff>
      <xdr:row>40</xdr:row>
      <xdr:rowOff>104402</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29</xdr:row>
      <xdr:rowOff>66302</xdr:rowOff>
    </xdr:from>
    <xdr:to>
      <xdr:col>29</xdr:col>
      <xdr:colOff>654050</xdr:colOff>
      <xdr:row>33</xdr:row>
      <xdr:rowOff>149412</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316939</xdr:rowOff>
    </xdr:from>
    <xdr:to>
      <xdr:col>9</xdr:col>
      <xdr:colOff>609600</xdr:colOff>
      <xdr:row>80</xdr:row>
      <xdr:rowOff>10430</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60</xdr:row>
      <xdr:rowOff>316940</xdr:rowOff>
    </xdr:from>
    <xdr:to>
      <xdr:col>9</xdr:col>
      <xdr:colOff>628650</xdr:colOff>
      <xdr:row>80</xdr:row>
      <xdr:rowOff>64238</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316940</xdr:rowOff>
    </xdr:from>
    <xdr:to>
      <xdr:col>9</xdr:col>
      <xdr:colOff>609600</xdr:colOff>
      <xdr:row>80</xdr:row>
      <xdr:rowOff>64238</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202747</xdr:rowOff>
    </xdr:from>
    <xdr:to>
      <xdr:col>9</xdr:col>
      <xdr:colOff>609600</xdr:colOff>
      <xdr:row>84</xdr:row>
      <xdr:rowOff>334053</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101</xdr:row>
      <xdr:rowOff>126342</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220923</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102</xdr:row>
      <xdr:rowOff>169582</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64974</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219822</xdr:rowOff>
    </xdr:from>
    <xdr:to>
      <xdr:col>9</xdr:col>
      <xdr:colOff>609600</xdr:colOff>
      <xdr:row>122</xdr:row>
      <xdr:rowOff>159654</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181623</xdr:rowOff>
    </xdr:from>
    <xdr:to>
      <xdr:col>9</xdr:col>
      <xdr:colOff>609600</xdr:colOff>
      <xdr:row>123</xdr:row>
      <xdr:rowOff>122115</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122115</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122115</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58</xdr:row>
      <xdr:rowOff>1494</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647700</xdr:colOff>
      <xdr:row>40</xdr:row>
      <xdr:rowOff>123452</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647700</xdr:colOff>
      <xdr:row>49</xdr:row>
      <xdr:rowOff>104401</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647700</xdr:colOff>
      <xdr:row>152</xdr:row>
      <xdr:rowOff>159655</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647700</xdr:colOff>
      <xdr:row>40</xdr:row>
      <xdr:rowOff>85352</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647700</xdr:colOff>
      <xdr:row>49</xdr:row>
      <xdr:rowOff>59951</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647700</xdr:colOff>
      <xdr:row>152</xdr:row>
      <xdr:rowOff>159655</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2536</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2536</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25</xdr:row>
      <xdr:rowOff>145117</xdr:rowOff>
    </xdr:from>
    <xdr:to>
      <xdr:col>34</xdr:col>
      <xdr:colOff>647700</xdr:colOff>
      <xdr:row>45</xdr:row>
      <xdr:rowOff>145116</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59</xdr:row>
      <xdr:rowOff>316939</xdr:rowOff>
    </xdr:from>
    <xdr:to>
      <xdr:col>18</xdr:col>
      <xdr:colOff>571500</xdr:colOff>
      <xdr:row>80</xdr:row>
      <xdr:rowOff>10430</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85</xdr:row>
      <xdr:rowOff>29253</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2536</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673100</xdr:colOff>
      <xdr:row>40</xdr:row>
      <xdr:rowOff>104402</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673100</xdr:colOff>
      <xdr:row>49</xdr:row>
      <xdr:rowOff>104401</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673100</xdr:colOff>
      <xdr:row>155</xdr:row>
      <xdr:rowOff>45915</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673100</xdr:colOff>
      <xdr:row>40</xdr:row>
      <xdr:rowOff>104402</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673100</xdr:colOff>
      <xdr:row>49</xdr:row>
      <xdr:rowOff>104401</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673100</xdr:colOff>
      <xdr:row>155</xdr:row>
      <xdr:rowOff>45915</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66301</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64247</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134</xdr:row>
      <xdr:rowOff>159655</xdr:rowOff>
    </xdr:from>
    <xdr:to>
      <xdr:col>32</xdr:col>
      <xdr:colOff>673100</xdr:colOff>
      <xdr:row>154</xdr:row>
      <xdr:rowOff>58448</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20</xdr:row>
      <xdr:rowOff>66301</xdr:rowOff>
    </xdr:from>
    <xdr:to>
      <xdr:col>33</xdr:col>
      <xdr:colOff>654050</xdr:colOff>
      <xdr:row>40</xdr:row>
      <xdr:rowOff>104402</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29</xdr:row>
      <xdr:rowOff>66302</xdr:rowOff>
    </xdr:from>
    <xdr:to>
      <xdr:col>29</xdr:col>
      <xdr:colOff>654050</xdr:colOff>
      <xdr:row>33</xdr:row>
      <xdr:rowOff>149412</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134097</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355040</xdr:rowOff>
    </xdr:from>
    <xdr:to>
      <xdr:col>9</xdr:col>
      <xdr:colOff>609600</xdr:colOff>
      <xdr:row>79</xdr:row>
      <xdr:rowOff>47969</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355039</xdr:rowOff>
    </xdr:from>
    <xdr:to>
      <xdr:col>9</xdr:col>
      <xdr:colOff>628650</xdr:colOff>
      <xdr:row>79</xdr:row>
      <xdr:rowOff>93310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355039</xdr:rowOff>
    </xdr:from>
    <xdr:to>
      <xdr:col>9</xdr:col>
      <xdr:colOff>609600</xdr:colOff>
      <xdr:row>79</xdr:row>
      <xdr:rowOff>93310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355039</xdr:rowOff>
    </xdr:from>
    <xdr:to>
      <xdr:col>9</xdr:col>
      <xdr:colOff>609600</xdr:colOff>
      <xdr:row>79</xdr:row>
      <xdr:rowOff>93310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64208</xdr:rowOff>
    </xdr:from>
    <xdr:to>
      <xdr:col>9</xdr:col>
      <xdr:colOff>609600</xdr:colOff>
      <xdr:row>84</xdr:row>
      <xdr:rowOff>786</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9869</xdr:rowOff>
    </xdr:from>
    <xdr:to>
      <xdr:col>9</xdr:col>
      <xdr:colOff>609600</xdr:colOff>
      <xdr:row>98</xdr:row>
      <xdr:rowOff>162997</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83513</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100</xdr:row>
      <xdr:rowOff>221985</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88242</xdr:rowOff>
    </xdr:from>
    <xdr:to>
      <xdr:col>9</xdr:col>
      <xdr:colOff>609600</xdr:colOff>
      <xdr:row>121</xdr:row>
      <xdr:rowOff>7815</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49099</xdr:rowOff>
    </xdr:from>
    <xdr:to>
      <xdr:col>9</xdr:col>
      <xdr:colOff>609600</xdr:colOff>
      <xdr:row>121</xdr:row>
      <xdr:rowOff>153304</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64315</xdr:rowOff>
    </xdr:from>
    <xdr:to>
      <xdr:col>9</xdr:col>
      <xdr:colOff>609600</xdr:colOff>
      <xdr:row>122</xdr:row>
      <xdr:rowOff>172354</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238872</xdr:rowOff>
    </xdr:from>
    <xdr:to>
      <xdr:col>9</xdr:col>
      <xdr:colOff>609600</xdr:colOff>
      <xdr:row>122</xdr:row>
      <xdr:rowOff>172354</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28202</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56</xdr:row>
      <xdr:rowOff>102534</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39</xdr:row>
      <xdr:rowOff>145116</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647700</xdr:colOff>
      <xdr:row>47</xdr:row>
      <xdr:rowOff>123452</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647700</xdr:colOff>
      <xdr:row>151</xdr:row>
      <xdr:rowOff>7815</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647700</xdr:colOff>
      <xdr:row>47</xdr:row>
      <xdr:rowOff>66302</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7815</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60</xdr:row>
      <xdr:rowOff>230094</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60</xdr:row>
      <xdr:rowOff>230094</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178734</xdr:rowOff>
    </xdr:from>
    <xdr:to>
      <xdr:col>34</xdr:col>
      <xdr:colOff>647700</xdr:colOff>
      <xdr:row>44</xdr:row>
      <xdr:rowOff>145116</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355040</xdr:rowOff>
    </xdr:from>
    <xdr:to>
      <xdr:col>18</xdr:col>
      <xdr:colOff>571500</xdr:colOff>
      <xdr:row>79</xdr:row>
      <xdr:rowOff>47969</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7058</xdr:rowOff>
    </xdr:from>
    <xdr:to>
      <xdr:col>18</xdr:col>
      <xdr:colOff>609600</xdr:colOff>
      <xdr:row>83</xdr:row>
      <xdr:rowOff>58782</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60</xdr:row>
      <xdr:rowOff>230094</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123452</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666750</xdr:colOff>
      <xdr:row>47</xdr:row>
      <xdr:rowOff>123452</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666750</xdr:colOff>
      <xdr:row>152</xdr:row>
      <xdr:rowOff>58449</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123452</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666750</xdr:colOff>
      <xdr:row>47</xdr:row>
      <xdr:rowOff>123452</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666750</xdr:colOff>
      <xdr:row>152</xdr:row>
      <xdr:rowOff>58449</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66302</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85351</xdr:rowOff>
    </xdr:from>
    <xdr:to>
      <xdr:col>32</xdr:col>
      <xdr:colOff>57150</xdr:colOff>
      <xdr:row>47</xdr:row>
      <xdr:rowOff>66302</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7815</xdr:rowOff>
    </xdr:from>
    <xdr:to>
      <xdr:col>32</xdr:col>
      <xdr:colOff>666750</xdr:colOff>
      <xdr:row>152</xdr:row>
      <xdr:rowOff>87191</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66301</xdr:rowOff>
    </xdr:from>
    <xdr:to>
      <xdr:col>33</xdr:col>
      <xdr:colOff>647700</xdr:colOff>
      <xdr:row>40</xdr:row>
      <xdr:rowOff>123452</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85351</xdr:rowOff>
    </xdr:from>
    <xdr:to>
      <xdr:col>33</xdr:col>
      <xdr:colOff>647700</xdr:colOff>
      <xdr:row>46</xdr:row>
      <xdr:rowOff>145116</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20</xdr:row>
      <xdr:rowOff>66301</xdr:rowOff>
    </xdr:from>
    <xdr:to>
      <xdr:col>30</xdr:col>
      <xdr:colOff>676275</xdr:colOff>
      <xdr:row>22</xdr:row>
      <xdr:rowOff>171824</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29</xdr:row>
      <xdr:rowOff>66302</xdr:rowOff>
    </xdr:from>
    <xdr:to>
      <xdr:col>30</xdr:col>
      <xdr:colOff>676275</xdr:colOff>
      <xdr:row>33</xdr:row>
      <xdr:rowOff>149412</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134</xdr:row>
      <xdr:rowOff>172355</xdr:rowOff>
    </xdr:from>
    <xdr:to>
      <xdr:col>30</xdr:col>
      <xdr:colOff>676275</xdr:colOff>
      <xdr:row>139</xdr:row>
      <xdr:rowOff>58447</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134097</xdr:rowOff>
    </xdr:to>
    <xdr:sp macro="" textlink="">
      <xdr:nvSpPr>
        <xdr:cNvPr id="422229" name="Text Box 341" hidden="1">
          <a:extLst>
            <a:ext uri="{FF2B5EF4-FFF2-40B4-BE49-F238E27FC236}">
              <a16:creationId xmlns:a16="http://schemas.microsoft.com/office/drawing/2014/main" id="{5869E515-740E-A197-35C4-0E4D46424013}"/>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355040</xdr:rowOff>
    </xdr:from>
    <xdr:to>
      <xdr:col>9</xdr:col>
      <xdr:colOff>609600</xdr:colOff>
      <xdr:row>79</xdr:row>
      <xdr:rowOff>47969</xdr:rowOff>
    </xdr:to>
    <xdr:sp macro="" textlink="">
      <xdr:nvSpPr>
        <xdr:cNvPr id="422228" name="Text Box 340" hidden="1">
          <a:extLst>
            <a:ext uri="{FF2B5EF4-FFF2-40B4-BE49-F238E27FC236}">
              <a16:creationId xmlns:a16="http://schemas.microsoft.com/office/drawing/2014/main" id="{25AC7E6B-AAA7-B3FF-CD4A-B5FC28773070}"/>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355039</xdr:rowOff>
    </xdr:from>
    <xdr:to>
      <xdr:col>9</xdr:col>
      <xdr:colOff>628650</xdr:colOff>
      <xdr:row>79</xdr:row>
      <xdr:rowOff>93310</xdr:rowOff>
    </xdr:to>
    <xdr:sp macro="" textlink="">
      <xdr:nvSpPr>
        <xdr:cNvPr id="422227" name="Text Box 339" hidden="1">
          <a:extLst>
            <a:ext uri="{FF2B5EF4-FFF2-40B4-BE49-F238E27FC236}">
              <a16:creationId xmlns:a16="http://schemas.microsoft.com/office/drawing/2014/main" id="{AF02E12B-96C9-AAC0-04E9-E2A03C714C57}"/>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355039</xdr:rowOff>
    </xdr:from>
    <xdr:to>
      <xdr:col>9</xdr:col>
      <xdr:colOff>609600</xdr:colOff>
      <xdr:row>79</xdr:row>
      <xdr:rowOff>93310</xdr:rowOff>
    </xdr:to>
    <xdr:sp macro="" textlink="">
      <xdr:nvSpPr>
        <xdr:cNvPr id="422226" name="Text Box 338" hidden="1">
          <a:extLst>
            <a:ext uri="{FF2B5EF4-FFF2-40B4-BE49-F238E27FC236}">
              <a16:creationId xmlns:a16="http://schemas.microsoft.com/office/drawing/2014/main" id="{A49EFA38-18B1-A52E-AD57-C016435728CE}"/>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355039</xdr:rowOff>
    </xdr:from>
    <xdr:to>
      <xdr:col>9</xdr:col>
      <xdr:colOff>609600</xdr:colOff>
      <xdr:row>79</xdr:row>
      <xdr:rowOff>93310</xdr:rowOff>
    </xdr:to>
    <xdr:sp macro="" textlink="">
      <xdr:nvSpPr>
        <xdr:cNvPr id="422225" name="Text Box 337" hidden="1">
          <a:extLst>
            <a:ext uri="{FF2B5EF4-FFF2-40B4-BE49-F238E27FC236}">
              <a16:creationId xmlns:a16="http://schemas.microsoft.com/office/drawing/2014/main" id="{D48A0CC7-C1BE-B31B-D6A5-7641F40F66BA}"/>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64208</xdr:rowOff>
    </xdr:from>
    <xdr:to>
      <xdr:col>9</xdr:col>
      <xdr:colOff>609600</xdr:colOff>
      <xdr:row>84</xdr:row>
      <xdr:rowOff>786</xdr:rowOff>
    </xdr:to>
    <xdr:sp macro="" textlink="">
      <xdr:nvSpPr>
        <xdr:cNvPr id="422224" name="Text Box 336" hidden="1">
          <a:extLst>
            <a:ext uri="{FF2B5EF4-FFF2-40B4-BE49-F238E27FC236}">
              <a16:creationId xmlns:a16="http://schemas.microsoft.com/office/drawing/2014/main" id="{D3A57841-2346-6D8B-8A1C-4F47FDC117F3}"/>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9869</xdr:rowOff>
    </xdr:from>
    <xdr:to>
      <xdr:col>9</xdr:col>
      <xdr:colOff>609600</xdr:colOff>
      <xdr:row>98</xdr:row>
      <xdr:rowOff>162997</xdr:rowOff>
    </xdr:to>
    <xdr:sp macro="" textlink="">
      <xdr:nvSpPr>
        <xdr:cNvPr id="422223" name="Text Box 335" hidden="1">
          <a:extLst>
            <a:ext uri="{FF2B5EF4-FFF2-40B4-BE49-F238E27FC236}">
              <a16:creationId xmlns:a16="http://schemas.microsoft.com/office/drawing/2014/main" id="{BC543BF0-E2FB-D0E7-EE31-53E0CA37EFEA}"/>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83513</xdr:rowOff>
    </xdr:to>
    <xdr:sp macro="" textlink="">
      <xdr:nvSpPr>
        <xdr:cNvPr id="422222" name="Text Box 334" hidden="1">
          <a:extLst>
            <a:ext uri="{FF2B5EF4-FFF2-40B4-BE49-F238E27FC236}">
              <a16:creationId xmlns:a16="http://schemas.microsoft.com/office/drawing/2014/main" id="{600373A5-A9D6-F1B2-424E-AC3BDE741081}"/>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422221" name="Text Box 333" hidden="1">
          <a:extLst>
            <a:ext uri="{FF2B5EF4-FFF2-40B4-BE49-F238E27FC236}">
              <a16:creationId xmlns:a16="http://schemas.microsoft.com/office/drawing/2014/main" id="{BAF4AB45-15CD-4889-B3E6-6B8CE1984089}"/>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100</xdr:row>
      <xdr:rowOff>221985</xdr:rowOff>
    </xdr:to>
    <xdr:sp macro="" textlink="">
      <xdr:nvSpPr>
        <xdr:cNvPr id="422220" name="Text Box 332" hidden="1">
          <a:extLst>
            <a:ext uri="{FF2B5EF4-FFF2-40B4-BE49-F238E27FC236}">
              <a16:creationId xmlns:a16="http://schemas.microsoft.com/office/drawing/2014/main" id="{1A620417-ED23-C8B3-3544-00F6A56316DD}"/>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88242</xdr:rowOff>
    </xdr:from>
    <xdr:to>
      <xdr:col>9</xdr:col>
      <xdr:colOff>609600</xdr:colOff>
      <xdr:row>121</xdr:row>
      <xdr:rowOff>7815</xdr:rowOff>
    </xdr:to>
    <xdr:sp macro="" textlink="">
      <xdr:nvSpPr>
        <xdr:cNvPr id="422219" name="Text Box 331" hidden="1">
          <a:extLst>
            <a:ext uri="{FF2B5EF4-FFF2-40B4-BE49-F238E27FC236}">
              <a16:creationId xmlns:a16="http://schemas.microsoft.com/office/drawing/2014/main" id="{623D8D39-AA75-8987-39C3-C44B68E937F6}"/>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49099</xdr:rowOff>
    </xdr:from>
    <xdr:to>
      <xdr:col>9</xdr:col>
      <xdr:colOff>609600</xdr:colOff>
      <xdr:row>121</xdr:row>
      <xdr:rowOff>153304</xdr:rowOff>
    </xdr:to>
    <xdr:sp macro="" textlink="">
      <xdr:nvSpPr>
        <xdr:cNvPr id="422218" name="Text Box 330" hidden="1">
          <a:extLst>
            <a:ext uri="{FF2B5EF4-FFF2-40B4-BE49-F238E27FC236}">
              <a16:creationId xmlns:a16="http://schemas.microsoft.com/office/drawing/2014/main" id="{E0A24E1B-D552-ED44-6930-0B55EEA0F3CD}"/>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64315</xdr:rowOff>
    </xdr:from>
    <xdr:to>
      <xdr:col>9</xdr:col>
      <xdr:colOff>609600</xdr:colOff>
      <xdr:row>122</xdr:row>
      <xdr:rowOff>172354</xdr:rowOff>
    </xdr:to>
    <xdr:sp macro="" textlink="">
      <xdr:nvSpPr>
        <xdr:cNvPr id="422217" name="Text Box 329" hidden="1">
          <a:extLst>
            <a:ext uri="{FF2B5EF4-FFF2-40B4-BE49-F238E27FC236}">
              <a16:creationId xmlns:a16="http://schemas.microsoft.com/office/drawing/2014/main" id="{E11F445B-FD9B-240B-BF67-B83619A2CA4D}"/>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238872</xdr:rowOff>
    </xdr:from>
    <xdr:to>
      <xdr:col>9</xdr:col>
      <xdr:colOff>609600</xdr:colOff>
      <xdr:row>122</xdr:row>
      <xdr:rowOff>172354</xdr:rowOff>
    </xdr:to>
    <xdr:sp macro="" textlink="">
      <xdr:nvSpPr>
        <xdr:cNvPr id="422216" name="Text Box 328" hidden="1">
          <a:extLst>
            <a:ext uri="{FF2B5EF4-FFF2-40B4-BE49-F238E27FC236}">
              <a16:creationId xmlns:a16="http://schemas.microsoft.com/office/drawing/2014/main" id="{2BAA3014-B79D-5A86-5A15-5A2377CDF352}"/>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422215" name="Text Box 327" hidden="1">
          <a:extLst>
            <a:ext uri="{FF2B5EF4-FFF2-40B4-BE49-F238E27FC236}">
              <a16:creationId xmlns:a16="http://schemas.microsoft.com/office/drawing/2014/main" id="{59F27FB4-4A5B-5AFC-78B0-DD4F874294DF}"/>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422214" name="Text Box 326" hidden="1">
          <a:extLst>
            <a:ext uri="{FF2B5EF4-FFF2-40B4-BE49-F238E27FC236}">
              <a16:creationId xmlns:a16="http://schemas.microsoft.com/office/drawing/2014/main" id="{CE2BDBB7-0099-FF35-7068-3938394E007D}"/>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28202</xdr:rowOff>
    </xdr:to>
    <xdr:sp macro="" textlink="">
      <xdr:nvSpPr>
        <xdr:cNvPr id="422213" name="Text Box 325" hidden="1">
          <a:extLst>
            <a:ext uri="{FF2B5EF4-FFF2-40B4-BE49-F238E27FC236}">
              <a16:creationId xmlns:a16="http://schemas.microsoft.com/office/drawing/2014/main" id="{C9F3758B-1610-D7CF-80D7-5C6260187CE0}"/>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422212" name="Text Box 324" hidden="1">
          <a:extLst>
            <a:ext uri="{FF2B5EF4-FFF2-40B4-BE49-F238E27FC236}">
              <a16:creationId xmlns:a16="http://schemas.microsoft.com/office/drawing/2014/main" id="{5BFD50C4-A9BC-70EB-8260-7EF457DD67B4}"/>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56</xdr:row>
      <xdr:rowOff>102534</xdr:rowOff>
    </xdr:to>
    <xdr:sp macro="" textlink="">
      <xdr:nvSpPr>
        <xdr:cNvPr id="422211" name="Text Box 323" hidden="1">
          <a:extLst>
            <a:ext uri="{FF2B5EF4-FFF2-40B4-BE49-F238E27FC236}">
              <a16:creationId xmlns:a16="http://schemas.microsoft.com/office/drawing/2014/main" id="{4D446DA2-4AB0-7BA1-44EF-C7CF65CB70AC}"/>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39</xdr:row>
      <xdr:rowOff>145116</xdr:rowOff>
    </xdr:to>
    <xdr:sp macro="" textlink="">
      <xdr:nvSpPr>
        <xdr:cNvPr id="422210" name="Text Box 322" hidden="1">
          <a:extLst>
            <a:ext uri="{FF2B5EF4-FFF2-40B4-BE49-F238E27FC236}">
              <a16:creationId xmlns:a16="http://schemas.microsoft.com/office/drawing/2014/main" id="{8B0D6042-D1C8-5F8E-B382-3245B8FEF1B7}"/>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647700</xdr:colOff>
      <xdr:row>47</xdr:row>
      <xdr:rowOff>123452</xdr:rowOff>
    </xdr:to>
    <xdr:sp macro="" textlink="">
      <xdr:nvSpPr>
        <xdr:cNvPr id="422209" name="Text Box 321" hidden="1">
          <a:extLst>
            <a:ext uri="{FF2B5EF4-FFF2-40B4-BE49-F238E27FC236}">
              <a16:creationId xmlns:a16="http://schemas.microsoft.com/office/drawing/2014/main" id="{673CB22D-ECC3-1DD7-580B-4FD3B5C1A467}"/>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647700</xdr:colOff>
      <xdr:row>151</xdr:row>
      <xdr:rowOff>7815</xdr:rowOff>
    </xdr:to>
    <xdr:sp macro="" textlink="">
      <xdr:nvSpPr>
        <xdr:cNvPr id="422208" name="Text Box 320" hidden="1">
          <a:extLst>
            <a:ext uri="{FF2B5EF4-FFF2-40B4-BE49-F238E27FC236}">
              <a16:creationId xmlns:a16="http://schemas.microsoft.com/office/drawing/2014/main" id="{2A555745-0772-6C25-C8EB-D4BFBBD561B1}"/>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422207" name="Text Box 319" hidden="1">
          <a:extLst>
            <a:ext uri="{FF2B5EF4-FFF2-40B4-BE49-F238E27FC236}">
              <a16:creationId xmlns:a16="http://schemas.microsoft.com/office/drawing/2014/main" id="{EA44C6D2-37BB-499D-FC0E-4674A6CE8C3E}"/>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647700</xdr:colOff>
      <xdr:row>47</xdr:row>
      <xdr:rowOff>66302</xdr:rowOff>
    </xdr:to>
    <xdr:sp macro="" textlink="">
      <xdr:nvSpPr>
        <xdr:cNvPr id="422206" name="Text Box 318" hidden="1">
          <a:extLst>
            <a:ext uri="{FF2B5EF4-FFF2-40B4-BE49-F238E27FC236}">
              <a16:creationId xmlns:a16="http://schemas.microsoft.com/office/drawing/2014/main" id="{32CCFF43-0655-6BFD-67A6-CC838899A266}"/>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7815</xdr:rowOff>
    </xdr:to>
    <xdr:sp macro="" textlink="">
      <xdr:nvSpPr>
        <xdr:cNvPr id="422205" name="Text Box 317" hidden="1">
          <a:extLst>
            <a:ext uri="{FF2B5EF4-FFF2-40B4-BE49-F238E27FC236}">
              <a16:creationId xmlns:a16="http://schemas.microsoft.com/office/drawing/2014/main" id="{FD4AEB8C-CA89-40DC-8582-D1D24335F2B4}"/>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60</xdr:row>
      <xdr:rowOff>230094</xdr:rowOff>
    </xdr:to>
    <xdr:sp macro="" textlink="">
      <xdr:nvSpPr>
        <xdr:cNvPr id="422204" name="Text Box 316" hidden="1">
          <a:extLst>
            <a:ext uri="{FF2B5EF4-FFF2-40B4-BE49-F238E27FC236}">
              <a16:creationId xmlns:a16="http://schemas.microsoft.com/office/drawing/2014/main" id="{B2956D35-CF82-D753-0AC6-A856945BC766}"/>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60</xdr:row>
      <xdr:rowOff>230094</xdr:rowOff>
    </xdr:to>
    <xdr:sp macro="" textlink="">
      <xdr:nvSpPr>
        <xdr:cNvPr id="422203" name="Text Box 315" hidden="1">
          <a:extLst>
            <a:ext uri="{FF2B5EF4-FFF2-40B4-BE49-F238E27FC236}">
              <a16:creationId xmlns:a16="http://schemas.microsoft.com/office/drawing/2014/main" id="{AF12C6CD-053B-EFF2-8AC2-97B80F9195BE}"/>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178734</xdr:rowOff>
    </xdr:from>
    <xdr:to>
      <xdr:col>34</xdr:col>
      <xdr:colOff>647700</xdr:colOff>
      <xdr:row>44</xdr:row>
      <xdr:rowOff>145116</xdr:rowOff>
    </xdr:to>
    <xdr:sp macro="" textlink="">
      <xdr:nvSpPr>
        <xdr:cNvPr id="422202" name="Text Box 314" hidden="1">
          <a:extLst>
            <a:ext uri="{FF2B5EF4-FFF2-40B4-BE49-F238E27FC236}">
              <a16:creationId xmlns:a16="http://schemas.microsoft.com/office/drawing/2014/main" id="{F72F4822-226F-4549-C838-4D901FFE4081}"/>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355040</xdr:rowOff>
    </xdr:from>
    <xdr:to>
      <xdr:col>18</xdr:col>
      <xdr:colOff>571500</xdr:colOff>
      <xdr:row>79</xdr:row>
      <xdr:rowOff>47969</xdr:rowOff>
    </xdr:to>
    <xdr:sp macro="" textlink="">
      <xdr:nvSpPr>
        <xdr:cNvPr id="422201" name="Text Box 313" hidden="1">
          <a:extLst>
            <a:ext uri="{FF2B5EF4-FFF2-40B4-BE49-F238E27FC236}">
              <a16:creationId xmlns:a16="http://schemas.microsoft.com/office/drawing/2014/main" id="{50C96A7F-E81C-0BE6-86C3-6171A917DB70}"/>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7058</xdr:rowOff>
    </xdr:from>
    <xdr:to>
      <xdr:col>18</xdr:col>
      <xdr:colOff>609600</xdr:colOff>
      <xdr:row>83</xdr:row>
      <xdr:rowOff>58782</xdr:rowOff>
    </xdr:to>
    <xdr:sp macro="" textlink="">
      <xdr:nvSpPr>
        <xdr:cNvPr id="422200" name="Text Box 312" hidden="1">
          <a:extLst>
            <a:ext uri="{FF2B5EF4-FFF2-40B4-BE49-F238E27FC236}">
              <a16:creationId xmlns:a16="http://schemas.microsoft.com/office/drawing/2014/main" id="{B599EEDB-61CC-14CE-C271-AC85880E1CC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60</xdr:row>
      <xdr:rowOff>230094</xdr:rowOff>
    </xdr:to>
    <xdr:sp macro="" textlink="">
      <xdr:nvSpPr>
        <xdr:cNvPr id="422199" name="Text Box 311" hidden="1">
          <a:extLst>
            <a:ext uri="{FF2B5EF4-FFF2-40B4-BE49-F238E27FC236}">
              <a16:creationId xmlns:a16="http://schemas.microsoft.com/office/drawing/2014/main" id="{1643F479-5E52-A7D4-C0FA-EA9A6ADBA9D4}"/>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123452</xdr:rowOff>
    </xdr:to>
    <xdr:sp macro="" textlink="">
      <xdr:nvSpPr>
        <xdr:cNvPr id="422198" name="Text Box 310" hidden="1">
          <a:extLst>
            <a:ext uri="{FF2B5EF4-FFF2-40B4-BE49-F238E27FC236}">
              <a16:creationId xmlns:a16="http://schemas.microsoft.com/office/drawing/2014/main" id="{3DFB5D47-825E-CA72-E252-A8A4D6F56FC4}"/>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666750</xdr:colOff>
      <xdr:row>47</xdr:row>
      <xdr:rowOff>123452</xdr:rowOff>
    </xdr:to>
    <xdr:sp macro="" textlink="">
      <xdr:nvSpPr>
        <xdr:cNvPr id="422197" name="Text Box 309" hidden="1">
          <a:extLst>
            <a:ext uri="{FF2B5EF4-FFF2-40B4-BE49-F238E27FC236}">
              <a16:creationId xmlns:a16="http://schemas.microsoft.com/office/drawing/2014/main" id="{C1D435A9-3F65-BE62-A8FD-A69CC086B992}"/>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666750</xdr:colOff>
      <xdr:row>152</xdr:row>
      <xdr:rowOff>58449</xdr:rowOff>
    </xdr:to>
    <xdr:sp macro="" textlink="">
      <xdr:nvSpPr>
        <xdr:cNvPr id="422196" name="Text Box 308" hidden="1">
          <a:extLst>
            <a:ext uri="{FF2B5EF4-FFF2-40B4-BE49-F238E27FC236}">
              <a16:creationId xmlns:a16="http://schemas.microsoft.com/office/drawing/2014/main" id="{68A84F2C-5D07-692B-D647-972DF4ADB120}"/>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123452</xdr:rowOff>
    </xdr:to>
    <xdr:sp macro="" textlink="">
      <xdr:nvSpPr>
        <xdr:cNvPr id="422195" name="Text Box 307" hidden="1">
          <a:extLst>
            <a:ext uri="{FF2B5EF4-FFF2-40B4-BE49-F238E27FC236}">
              <a16:creationId xmlns:a16="http://schemas.microsoft.com/office/drawing/2014/main" id="{52B47B05-3DBE-F63F-6D52-07E6887C4165}"/>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666750</xdr:colOff>
      <xdr:row>47</xdr:row>
      <xdr:rowOff>123452</xdr:rowOff>
    </xdr:to>
    <xdr:sp macro="" textlink="">
      <xdr:nvSpPr>
        <xdr:cNvPr id="422194" name="Text Box 306" hidden="1">
          <a:extLst>
            <a:ext uri="{FF2B5EF4-FFF2-40B4-BE49-F238E27FC236}">
              <a16:creationId xmlns:a16="http://schemas.microsoft.com/office/drawing/2014/main" id="{3F12BC05-752D-B8E9-98F0-BC0FCF198C46}"/>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666750</xdr:colOff>
      <xdr:row>152</xdr:row>
      <xdr:rowOff>58449</xdr:rowOff>
    </xdr:to>
    <xdr:sp macro="" textlink="">
      <xdr:nvSpPr>
        <xdr:cNvPr id="422193" name="Text Box 305" hidden="1">
          <a:extLst>
            <a:ext uri="{FF2B5EF4-FFF2-40B4-BE49-F238E27FC236}">
              <a16:creationId xmlns:a16="http://schemas.microsoft.com/office/drawing/2014/main" id="{B7F64756-266F-8C5D-1F66-AC96CE8B4C76}"/>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66302</xdr:rowOff>
    </xdr:to>
    <xdr:sp macro="" textlink="">
      <xdr:nvSpPr>
        <xdr:cNvPr id="422192" name="Text Box 304" hidden="1">
          <a:extLst>
            <a:ext uri="{FF2B5EF4-FFF2-40B4-BE49-F238E27FC236}">
              <a16:creationId xmlns:a16="http://schemas.microsoft.com/office/drawing/2014/main" id="{C82380D8-1A8C-F045-918E-C99258EE151E}"/>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85351</xdr:rowOff>
    </xdr:from>
    <xdr:to>
      <xdr:col>32</xdr:col>
      <xdr:colOff>57150</xdr:colOff>
      <xdr:row>47</xdr:row>
      <xdr:rowOff>66302</xdr:rowOff>
    </xdr:to>
    <xdr:sp macro="" textlink="">
      <xdr:nvSpPr>
        <xdr:cNvPr id="422191" name="Text Box 303" hidden="1">
          <a:extLst>
            <a:ext uri="{FF2B5EF4-FFF2-40B4-BE49-F238E27FC236}">
              <a16:creationId xmlns:a16="http://schemas.microsoft.com/office/drawing/2014/main" id="{2068E458-BAC5-CF6E-D7EA-729FABCC1508}"/>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7815</xdr:rowOff>
    </xdr:from>
    <xdr:to>
      <xdr:col>32</xdr:col>
      <xdr:colOff>666750</xdr:colOff>
      <xdr:row>152</xdr:row>
      <xdr:rowOff>87191</xdr:rowOff>
    </xdr:to>
    <xdr:sp macro="" textlink="">
      <xdr:nvSpPr>
        <xdr:cNvPr id="422190" name="Text Box 302" hidden="1">
          <a:extLst>
            <a:ext uri="{FF2B5EF4-FFF2-40B4-BE49-F238E27FC236}">
              <a16:creationId xmlns:a16="http://schemas.microsoft.com/office/drawing/2014/main" id="{FC67CA2F-BF2C-C628-FBD4-03BE993661A9}"/>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66301</xdr:rowOff>
    </xdr:from>
    <xdr:to>
      <xdr:col>33</xdr:col>
      <xdr:colOff>647700</xdr:colOff>
      <xdr:row>40</xdr:row>
      <xdr:rowOff>123452</xdr:rowOff>
    </xdr:to>
    <xdr:sp macro="" textlink="">
      <xdr:nvSpPr>
        <xdr:cNvPr id="422189" name="Text Box 301" hidden="1">
          <a:extLst>
            <a:ext uri="{FF2B5EF4-FFF2-40B4-BE49-F238E27FC236}">
              <a16:creationId xmlns:a16="http://schemas.microsoft.com/office/drawing/2014/main" id="{C2A86827-67A6-F580-5DDE-591EEE99CC01}"/>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85351</xdr:rowOff>
    </xdr:from>
    <xdr:to>
      <xdr:col>33</xdr:col>
      <xdr:colOff>647700</xdr:colOff>
      <xdr:row>46</xdr:row>
      <xdr:rowOff>145116</xdr:rowOff>
    </xdr:to>
    <xdr:sp macro="" textlink="">
      <xdr:nvSpPr>
        <xdr:cNvPr id="422188" name="Text Box 300" hidden="1">
          <a:extLst>
            <a:ext uri="{FF2B5EF4-FFF2-40B4-BE49-F238E27FC236}">
              <a16:creationId xmlns:a16="http://schemas.microsoft.com/office/drawing/2014/main" id="{7BD9512D-5CFE-5B4F-48BF-24237B1080D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66301</xdr:rowOff>
    </xdr:from>
    <xdr:to>
      <xdr:col>34</xdr:col>
      <xdr:colOff>666750</xdr:colOff>
      <xdr:row>39</xdr:row>
      <xdr:rowOff>145116</xdr:rowOff>
    </xdr:to>
    <xdr:sp macro="" textlink="">
      <xdr:nvSpPr>
        <xdr:cNvPr id="422187" name="Text Box 299" hidden="1">
          <a:extLst>
            <a:ext uri="{FF2B5EF4-FFF2-40B4-BE49-F238E27FC236}">
              <a16:creationId xmlns:a16="http://schemas.microsoft.com/office/drawing/2014/main" id="{C6EFEC49-5B52-F6F0-70C8-DEFFAD896841}"/>
            </a:ext>
          </a:extLst>
        </xdr:cNvPr>
        <xdr:cNvSpPr txBox="1">
          <a:spLocks noChangeArrowheads="1"/>
        </xdr:cNvSpPr>
      </xdr:nvSpPr>
      <xdr:spPr bwMode="auto">
        <a:xfrm>
          <a:off x="24790400" y="357505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66302</xdr:rowOff>
    </xdr:from>
    <xdr:to>
      <xdr:col>34</xdr:col>
      <xdr:colOff>666750</xdr:colOff>
      <xdr:row>48</xdr:row>
      <xdr:rowOff>145116</xdr:rowOff>
    </xdr:to>
    <xdr:sp macro="" textlink="">
      <xdr:nvSpPr>
        <xdr:cNvPr id="422186" name="Text Box 298" hidden="1">
          <a:extLst>
            <a:ext uri="{FF2B5EF4-FFF2-40B4-BE49-F238E27FC236}">
              <a16:creationId xmlns:a16="http://schemas.microsoft.com/office/drawing/2014/main" id="{2FD0EFED-0D59-0EC5-AF2D-B3E3DF46CBF2}"/>
            </a:ext>
          </a:extLst>
        </xdr:cNvPr>
        <xdr:cNvSpPr txBox="1">
          <a:spLocks noChangeArrowheads="1"/>
        </xdr:cNvSpPr>
      </xdr:nvSpPr>
      <xdr:spPr bwMode="auto">
        <a:xfrm>
          <a:off x="24790400" y="55816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422185" name="Text Box 297" hidden="1">
          <a:extLst>
            <a:ext uri="{FF2B5EF4-FFF2-40B4-BE49-F238E27FC236}">
              <a16:creationId xmlns:a16="http://schemas.microsoft.com/office/drawing/2014/main" id="{28174532-AA31-6842-FE5A-E553760B6560}"/>
            </a:ext>
          </a:extLst>
        </xdr:cNvPr>
        <xdr:cNvSpPr txBox="1">
          <a:spLocks noChangeArrowheads="1"/>
        </xdr:cNvSpPr>
      </xdr:nvSpPr>
      <xdr:spPr bwMode="auto">
        <a:xfrm>
          <a:off x="24790400" y="272288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58</xdr:row>
      <xdr:rowOff>180591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cell r="GP13">
            <v>598.70000000000005</v>
          </cell>
          <cell r="GQ13">
            <v>614.4</v>
          </cell>
          <cell r="GR13">
            <v>622.4</v>
          </cell>
          <cell r="GS13">
            <v>620.6</v>
          </cell>
          <cell r="GT13">
            <v>606.5</v>
          </cell>
          <cell r="GU13">
            <v>654.6</v>
          </cell>
          <cell r="GV13">
            <v>690.8</v>
          </cell>
          <cell r="GW13">
            <v>678.6</v>
          </cell>
          <cell r="GX13">
            <v>704.9</v>
          </cell>
          <cell r="GY13">
            <v>745.6</v>
          </cell>
          <cell r="GZ13">
            <v>749.2</v>
          </cell>
          <cell r="HA13">
            <v>746.3</v>
          </cell>
          <cell r="HB13">
            <v>791.9</v>
          </cell>
          <cell r="HC13">
            <v>819.2</v>
          </cell>
          <cell r="HD13">
            <v>819</v>
          </cell>
          <cell r="HE13">
            <v>827.5</v>
          </cell>
          <cell r="HF13">
            <v>877.6</v>
          </cell>
          <cell r="HG13">
            <v>911.6</v>
          </cell>
          <cell r="HH13">
            <v>867.2</v>
          </cell>
          <cell r="HI13">
            <v>856.2</v>
          </cell>
          <cell r="HJ13">
            <v>904.8</v>
          </cell>
          <cell r="HK13">
            <v>924.7</v>
          </cell>
          <cell r="HL13">
            <v>932.4</v>
          </cell>
          <cell r="HM13">
            <v>944.8</v>
          </cell>
          <cell r="HN13">
            <v>957.6</v>
          </cell>
        </row>
        <row r="40">
          <cell r="GO40">
            <v>391.92099999999999</v>
          </cell>
          <cell r="GP40">
            <v>405.36799999999999</v>
          </cell>
          <cell r="GQ40">
            <v>414.19600000000003</v>
          </cell>
          <cell r="GR40">
            <v>418.68599999999998</v>
          </cell>
          <cell r="GS40">
            <v>416.185</v>
          </cell>
          <cell r="GT40">
            <v>422.89</v>
          </cell>
          <cell r="GU40">
            <v>502.90600000000001</v>
          </cell>
          <cell r="GV40">
            <v>484.48</v>
          </cell>
          <cell r="GW40">
            <v>509.88400000000001</v>
          </cell>
          <cell r="GX40">
            <v>499.42899999999997</v>
          </cell>
          <cell r="GY40">
            <v>520.79</v>
          </cell>
          <cell r="GZ40">
            <v>545.32600000000002</v>
          </cell>
          <cell r="HA40">
            <v>567.61</v>
          </cell>
          <cell r="HB40">
            <v>589.92700000000002</v>
          </cell>
          <cell r="HC40">
            <v>585.74599999999998</v>
          </cell>
          <cell r="HD40">
            <v>617.88900000000001</v>
          </cell>
          <cell r="HE40">
            <v>611.67999999999995</v>
          </cell>
          <cell r="HF40">
            <v>632.66</v>
          </cell>
          <cell r="HG40">
            <v>628.88699999999994</v>
          </cell>
          <cell r="HH40">
            <v>585.98400000000004</v>
          </cell>
          <cell r="HI40">
            <v>612.03399999999999</v>
          </cell>
          <cell r="HJ40">
            <v>618.72699999999998</v>
          </cell>
          <cell r="HK40">
            <v>628.15700000000004</v>
          </cell>
          <cell r="HL40">
            <v>641.23699999999997</v>
          </cell>
          <cell r="HM40">
            <v>655.17499999999995</v>
          </cell>
          <cell r="HN40">
            <v>647.03</v>
          </cell>
        </row>
      </sheetData>
      <sheetData sheetId="6"/>
      <sheetData sheetId="7"/>
      <sheetData sheetId="8"/>
      <sheetData sheetId="9"/>
      <sheetData sheetId="10"/>
      <sheetData sheetId="11"/>
      <sheetData sheetId="12">
        <row r="20">
          <cell r="D20">
            <v>0</v>
          </cell>
        </row>
      </sheetData>
      <sheetData sheetId="13"/>
      <sheetData sheetId="14"/>
      <sheetData sheetId="15"/>
      <sheetData sheetId="16"/>
      <sheetData sheetId="17">
        <row r="27">
          <cell r="D27">
            <v>589.5</v>
          </cell>
        </row>
      </sheetData>
      <sheetData sheetId="18">
        <row r="10">
          <cell r="D10">
            <v>755</v>
          </cell>
        </row>
      </sheetData>
      <sheetData sheetId="19"/>
      <sheetData sheetId="20"/>
      <sheetData sheetId="21"/>
      <sheetData sheetId="22"/>
      <sheetData sheetId="23"/>
      <sheetData sheetId="24"/>
      <sheetData sheetId="25"/>
      <sheetData sheetId="26">
        <row r="53">
          <cell r="J53">
            <v>57.2</v>
          </cell>
        </row>
      </sheetData>
      <sheetData sheetId="27">
        <row r="11">
          <cell r="J11">
            <v>160.9</v>
          </cell>
        </row>
      </sheetData>
      <sheetData sheetId="28">
        <row r="10">
          <cell r="M10">
            <v>1348.1</v>
          </cell>
        </row>
      </sheetData>
      <sheetData sheetId="29"/>
      <sheetData sheetId="30">
        <row r="191">
          <cell r="E191">
            <v>-0.622</v>
          </cell>
        </row>
      </sheetData>
      <sheetData sheetId="31"/>
      <sheetData sheetId="32"/>
      <sheetData sheetId="33"/>
      <sheetData sheetId="34">
        <row r="4">
          <cell r="C4">
            <v>0</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2" dT="2023-01-27T19:01:20.87" personId="{609654FB-393E-4954-B3A3-EDB231775774}" id="{AA98F1E7-A035-4711-AEBA-58E888B48D84}">
    <text>End of public health emergency,  April 2023, so FMAP share goes down.</text>
  </threadedComment>
  <threadedComment ref="V12" dT="2023-07-27T14:27:37.22" personId="{2C68A5A1-706F-4A3E-93A3-741BBABEC4EA}" id="{38B109EA-DE18-4282-8230-38AED7ADA3B3}" parentId="{AA98F1E7-A035-4711-AEBA-58E888B48D84}">
    <text>How do we feel about FMAP stabilizing at 0.71 in our projections?</text>
  </threadedComment>
  <threadedComment ref="W12" dT="2023-07-28T14:54:19.93" personId="{609654FB-393E-4954-B3A3-EDB231775774}" id="{55D381E8-AD6E-4B4C-A048-C5382F102A58}">
    <text>We reduced this predicted FMAP from .745 to .72 because Q2 FMAP came in quite low</text>
  </threadedComment>
  <threadedComment ref="B17" dT="2022-05-26T13:51:07.76" personId="{104078EE-2393-4C21-9029-18A325FBDB70}" id="{53CC89D8-8B16-425C-B30E-F512A29D9AD7}">
    <text>May 2022 CBO 10-year budget projections Table 3-2 Mandatory Outlays Projected in CBO's baseline, adjusted to exclude effects of timing shifts, Row 18</text>
  </threadedComment>
  <threadedComment ref="B17" dT="2023-02-15T19:53:13.46" personId="{609654FB-393E-4954-B3A3-EDB231775774}" id="{E3B2EEB5-823E-4449-AE3D-7557B2971A80}" parentId="{53CC89D8-8B16-425C-B30E-F512A29D9AD7}">
    <text>This is now February 2023 CBO 10-year budget projections table 1-4 Mandatory Outlays Adjusted to Exclude the Effect of Timing Shifts, row 15, starting from 2022</text>
  </threadedComment>
  <threadedComment ref="B17" dT="2023-06-29T16:02:43.93" personId="{2C68A5A1-706F-4A3E-93A3-741BBABEC4EA}" id="{E509FFE6-4828-4702-85BB-4E43796E577C}" parentId="{53CC89D8-8B16-425C-B30E-F512A29D9AD7}">
    <text>May 2023 CBO 10-year budget projections supplemental table 2 Major health care programs &gt; Medicaid (row 16) starting from Actual, 2022.</text>
  </threadedComment>
  <threadedComment ref="B17" dT="2024-02-22T14:20:57.00" personId="{09FAC3F1-DFDB-4CF8-9903-358701529E2B}" id="{05EA8F48-D9FB-457C-B009-F012F56449A1}" parentId="{53CC89D8-8B16-425C-B30E-F512A29D9AD7}">
    <text>This is now February 2024 CBO 10-year budget projections table 1-4 Mandatory Outlays Adjusted to Exclude the Effect of Timing Shifts, row 15, starting from 2023</text>
  </threadedComment>
  <threadedComment ref="B17" dT="2024-06-26T18:57:37.91" personId="{2C68A5A1-706F-4A3E-93A3-741BBABEC4EA}" id="{B0986242-B7B2-465E-A5FE-F9BCE00E5F5A}" parentId="{53CC89D8-8B16-425C-B30E-F512A29D9AD7}">
    <text>This is now June 2024 CBO Budget Projections table table 1-4 Mandatory Outlays Adjusted to Exclude the Effect of Timing Shifts, row 15, starting from 2023</text>
  </threadedComment>
  <threadedComment ref="B17" dT="2025-01-23T18:50:28.50" personId="{B61C96CF-201E-4FBB-AE0C-863888EC2CC5}" id="{C4EBED75-13D2-4940-A6B8-952D3572B218}" parentId="{53CC89D8-8B16-425C-B30E-F512A29D9AD7}">
    <text>This is now January 2025 CBO Budget Projections Table B-4 Mandatory Outlays Adjusted to Exclude Effects of Timing Shifts, row 16, starting from 2024 onward</text>
  </threadedComment>
  <threadedComment ref="W27" dT="2023-07-28T14:26:42.35" personId="{609654FB-393E-4954-B3A3-EDB231775774}" id="{EB5F294B-ACE2-49F6-B3CE-C95C870A3C52}">
    <text>Medicaid has been growing much faster than the CBO 10-year budget predicts. So this might we worth revisiting because CBO's growth rate seems unrealistic</text>
  </threadedComment>
  <threadedComment ref="AN27" dT="2024-12-12T16:10:32.35" personId="{09FAC3F1-DFDB-4CF8-9903-358701529E2B}" id="{70B28A17-6ABC-4204-B0BC-B8BDED1FF435}">
    <text>We need to fill in K18</text>
  </threadedComment>
  <threadedComment ref="V28" dT="2023-07-26T20:48:20.39" personId="{2C68A5A1-706F-4A3E-93A3-741BBABEC4EA}" id="{ED1812D8-4E46-414F-B29D-DC1DF0340043}">
    <text>Is there any reason we want a 32 here? The formula doesn't have any dependents, so this is not factoring into anything.</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4.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6.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7.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9.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V13" dT="2023-01-27T19:01:20.87" personId="{609654FB-393E-4954-B3A3-EDB231775774}" id="{C0F7D83F-3CBE-4E4E-AE96-B1F8B0DBFA6E}">
    <text>End of public health emergency,  April 2023, so FMAP share goes down.</text>
  </threadedComment>
  <threadedComment ref="V13" dT="2023-07-27T14:27:37.22" personId="{2C68A5A1-706F-4A3E-93A3-741BBABEC4EA}" id="{BB0AC631-DA88-40F7-A2B9-C7D56D597E94}" parentId="{C0F7D83F-3CBE-4E4E-AE96-B1F8B0DBFA6E}">
    <text>How do we feel about FMAP stabilizing at 0.71 in our projections?</text>
  </threadedComment>
  <threadedComment ref="W13" dT="2023-07-28T14:54:19.93" personId="{609654FB-393E-4954-B3A3-EDB231775774}" id="{97DD76CB-44D3-4CC0-8B87-F29B043C496B}">
    <text>We reduced this predicted FMAP from .745 to .72 because Q2 FMAP came in quite low</text>
  </threadedComment>
  <threadedComment ref="B17"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 ref="B17" dT="2023-02-15T19:53:13.46" personId="{609654FB-393E-4954-B3A3-EDB231775774}" id="{33C21F0C-3560-41CE-A5DD-3B71DEE775BD}" parentId="{C3958D6E-5D0B-4757-8548-DC4AB51469BE}">
    <text>This is now February 2023 CBO 10-year budget projections table 1-4 Mandatory Outlays Adjusted to Exclude the Effect of Timing Shifts, row 15, starting from 2022</text>
  </threadedComment>
  <threadedComment ref="B17" dT="2023-06-29T16:02:43.93" personId="{2C68A5A1-706F-4A3E-93A3-741BBABEC4EA}" id="{253E30F8-5B4F-4163-AE47-B0A273CFEC23}" parentId="{C3958D6E-5D0B-4757-8548-DC4AB51469BE}">
    <text>May 2023 CBO 10-year budget projections supplemental table 2 Major health care programs &gt; Medicaid (row 16) starting from Actual, 2022.</text>
  </threadedComment>
  <threadedComment ref="B17" dT="2024-02-22T14:20:57.00" personId="{09FAC3F1-DFDB-4CF8-9903-358701529E2B}" id="{5BBDC251-44BB-4030-AD85-8E24540ECA90}" parentId="{C3958D6E-5D0B-4757-8548-DC4AB51469BE}">
    <text>This is now February 2024 CBO 10-year budget projections table 1-4 Mandatory Outlays Adjusted to Exclude the Effect of Timing Shifts, row 15, starting from 2023</text>
  </threadedComment>
  <threadedComment ref="B17" dT="2024-06-26T18:57:37.91" personId="{2C68A5A1-706F-4A3E-93A3-741BBABEC4EA}" id="{3266CE3F-B88B-41A5-AAF3-D02B9F4B66DF}" parentId="{C3958D6E-5D0B-4757-8548-DC4AB51469BE}">
    <text>This is now June 2024 CBO Budget Projections table table 1-4 Mandatory Outlays Adjusted to Exclude the Effect of Timing Shifts, row 15, starting from 2023</text>
  </threadedComment>
  <threadedComment ref="B17" dT="2025-01-23T18:50:28.50" personId="{B61C96CF-201E-4FBB-AE0C-863888EC2CC5}" id="{9726D289-2962-4D89-AAEF-946DFF923C26}" parentId="{C3958D6E-5D0B-4757-8548-DC4AB51469BE}">
    <text>This is now January 2025 CBO Budget Projections Table B-4 Mandatory Outlays Adjusted to Exclude Effects of Timing Shifts, row 16, starting from 2024 onward</text>
  </threadedComment>
  <threadedComment ref="B18" dT="2022-05-26T13:51:07.76" personId="{104078EE-2393-4C21-9029-18A325FBDB70}" id="{2ED467F9-8DC5-4AF4-A29A-FF788D937EE8}">
    <text>May 2022 CBO 10-year budget projections Table 3-2 Mandatory Outlays Projected in CBO's baseline, adjusted to exclude effects of timing shifts, Row 18</text>
  </threadedComment>
  <threadedComment ref="B18" dT="2023-02-15T19:53:13.46" personId="{609654FB-393E-4954-B3A3-EDB231775774}" id="{5103D9C0-4EF7-48C0-9D8C-03F2EA4196D4}" parentId="{2ED467F9-8DC5-4AF4-A29A-FF788D937EE8}">
    <text>This is now February 2023 CBO 10-year budget projections table 1-4 Mandatory Outlays Adjusted to Exclude the Effect of Timing Shifts, row 15, starting from 2022</text>
  </threadedComment>
  <threadedComment ref="B18" dT="2023-06-29T16:02:43.93" personId="{2C68A5A1-706F-4A3E-93A3-741BBABEC4EA}" id="{870E5EEC-F315-489E-A166-7CCB5E578AFF}" parentId="{2ED467F9-8DC5-4AF4-A29A-FF788D937EE8}">
    <text>May 2023 CBO 10-year budget projections supplemental table 2 Major health care programs &gt; Medicaid (row 16) starting from Actual, 2022.</text>
  </threadedComment>
  <threadedComment ref="B18" dT="2024-02-22T14:20:57.00" personId="{09FAC3F1-DFDB-4CF8-9903-358701529E2B}" id="{7819F653-901D-47F0-A11D-20917E1D7608}" parentId="{2ED467F9-8DC5-4AF4-A29A-FF788D937EE8}">
    <text>This is now February 2024 CBO 10-year budget projections table 1-4 Mandatory Outlays Adjusted to Exclude the Effect of Timing Shifts, row 15, starting from 2023</text>
  </threadedComment>
  <threadedComment ref="B18" dT="2024-06-26T18:57:37.91" personId="{2C68A5A1-706F-4A3E-93A3-741BBABEC4EA}" id="{4183AA0E-989C-4FAC-8B87-8AE24CDE3950}" parentId="{2ED467F9-8DC5-4AF4-A29A-FF788D937EE8}">
    <text>This is now June 2024 CBO Budget Projections table table 1-4 Mandatory Outlays Adjusted to Exclude the Effect of Timing Shifts, row 15, starting from 2023</text>
  </threadedComment>
  <threadedComment ref="B18" dT="2025-01-23T18:50:28.50" personId="{B61C96CF-201E-4FBB-AE0C-863888EC2CC5}" id="{8C155BAE-7E5A-4160-A2A7-F1DEC24587D2}" parentId="{2ED467F9-8DC5-4AF4-A29A-FF788D937EE8}">
    <text>This is now January 2025 CBO Budget Projections Table B-4 Mandatory Outlays Adjusted to Exclude Effects of Timing Shifts, row 16, starting from 2024 onward</text>
  </threadedComment>
  <threadedComment ref="W30"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30" dT="2024-12-12T16:10:32.35" personId="{09FAC3F1-DFDB-4CF8-9903-358701529E2B}" id="{6A9D0C8A-F9C2-4EE0-B3A9-3E7911CC1731}">
    <text>We need to fill in K18</text>
  </threadedComment>
  <threadedComment ref="V31"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10.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1.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2" dT="2023-02-16T19:02:57.27" personId="{609654FB-393E-4954-B3A3-EDB231775774}" id="{9CD67460-E1CB-4B53-9C37-E18E4A204770}">
    <text>Same issue as previous--we have policies but they don't feed into anything we get from the CBO. So what do we do?</text>
  </threadedComment>
  <threadedComment ref="W50" dT="2023-07-28T17:56:37.74" personId="{2C68A5A1-706F-4A3E-93A3-741BBABEC4EA}" id="{E1EEB2AC-C029-4C98-981E-E7577AACBA1F}">
    <text>We're assuming it will stay at 37.7 because of the new TFP</text>
  </threadedComment>
  <threadedComment ref="J67" dT="2021-11-02T13:23:36.94" personId="{58CF8BEC-4104-46F7-BE4F-2C9403635492}" id="{8624CBF8-0C25-4544-B55E-7210BBE07E41}">
    <text>Formula changes to grow by counterfactual pre-covid growth rate</text>
  </threadedComment>
  <threadedComment ref="M67" dT="2021-11-02T13:26:53.83" personId="{58CF8BEC-4104-46F7-BE4F-2C9403635492}" id="{B38BAE8E-DF30-49E2-9F96-90A1041E4DF0}">
    <text>Accounting for step up in social security</text>
  </threadedComment>
  <threadedComment ref="M67" dT="2022-07-28T10:16:22.56" personId="{104078EE-2393-4C21-9029-18A325FBDB70}" id="{E0C007BA-F33F-4062-A357-370316E1FFF4}" parentId="{B38BAE8E-DF30-49E2-9F96-90A1041E4DF0}">
    <text>every Q1</text>
  </threadedComment>
  <threadedComment ref="U67" dT="2022-10-28T13:56:35.19" personId="{609654FB-393E-4954-B3A3-EDB231775774}" id="{96427D88-0329-491C-A939-11D66B55F1C3}" done="1">
    <text>COLA adjustment questions.</text>
  </threadedComment>
  <threadedComment ref="Y67" dT="2022-10-28T13:56:35.19" personId="{609654FB-393E-4954-B3A3-EDB231775774}" id="{8AABB420-F73D-4E8A-8DF7-F245078D4E11}">
    <text>COLA adjustment questions.</text>
  </threadedComment>
  <threadedComment ref="AC67" dT="2022-10-28T13:56:35.19" personId="{609654FB-393E-4954-B3A3-EDB231775774}" id="{41707468-7438-4BC6-B704-F002DDD23F47}">
    <text>COLA adjustment questions.</text>
  </threadedComment>
  <threadedComment ref="B92" dT="2023-02-24T16:39:02.09" personId="{104078EE-2393-4C21-9029-18A325FBDB70}" id="{6AF7CFB2-704D-4104-831C-CFDBBA2AEEEB}">
    <text>CBO Feb 2023 budget projections table 1-4, social security subtotal</text>
  </threadedComment>
  <threadedComment ref="B92" dT="2023-06-29T15:43:04.78" personId="{2C68A5A1-706F-4A3E-93A3-741BBABEC4EA}" id="{7DD95AD6-CB37-4E4C-85DB-D839D0D68392}" parentId="{6AF7CFB2-704D-4104-831C-CFDBBA2AEEEB}">
    <text>CBO May 2023 budget projections supplemental table 2, social security subtotal</text>
  </threadedComment>
  <threadedComment ref="B92"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2"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2"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7" dT="2023-07-27T13:55:30.12" personId="{2C68A5A1-706F-4A3E-93A3-741BBABEC4EA}" id="{EBE1E7D2-6EB8-4B92-8CE8-BB562C83E893}">
    <text>Drag my predecessor forward in August 2023!! (Corporate taxes come in late, and we couldn't update in July!)</text>
  </threadedComment>
  <threadedComment ref="W17" dT="2023-10-26T13:36:22.11" personId="{609654FB-393E-4954-B3A3-EDB231775774}" id="{593AFA9A-8DC4-4E71-AAA8-0645166E3F25}">
    <text>Drag this forward in November, by the same logic as the comment in the previous cell.</text>
  </threadedComment>
  <threadedComment ref="X17" dT="2024-01-24T19:06:54.51" personId="{09FAC3F1-DFDB-4CF8-9903-358701529E2B}" id="{E6E2D78D-4384-4561-939B-9BC7331F8BE8}">
    <text>Drag this forward in February because we get Q4 data a month late.</text>
  </threadedComment>
  <threadedComment ref="Y17" dT="2024-07-25T15:32:05.95" personId="{09FAC3F1-DFDB-4CF8-9903-358701529E2B}" id="{49FFCEA4-DB95-4205-AFF6-7460DD4E5BD6}">
    <text xml:space="preserve">Drag this forward in August 2024 because we get corporate taxes a month late. </text>
  </threadedComment>
  <threadedComment ref="Z17" dT="2024-08-29T14:13:41.39" personId="{09FAC3F1-DFDB-4CF8-9903-358701529E2B}" id="{532E12BD-0998-418E-B570-F87A746D9747}">
    <text xml:space="preserve">Drag this forward in November because we get taxes a month late. </text>
  </threadedComment>
  <threadedComment ref="AA17"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7" dT="2025-03-28T13:31:17.28" personId="{09FAC3F1-DFDB-4CF8-9903-358701529E2B}" id="{04F0C19F-5689-47C7-8B13-A2E1AE7CD1BE}">
    <text xml:space="preserve">Drag this forward in May - we get corporate taxes a month late. </text>
  </threadedComment>
  <threadedComment ref="AC17" dT="2025-05-29T15:29:26.13" personId="{B61C96CF-201E-4FBB-AE0C-863888EC2CC5}" id="{804EAE48-21FA-4C6B-95AB-036D023A055F}">
    <text xml:space="preserve">Drag this forward in August - we get corporate taxes a month late. </text>
  </threadedComment>
  <threadedComment ref="AC23" dT="2024-04-26T16:37:16.34" personId="{09FAC3F1-DFDB-4CF8-9903-358701529E2B}" id="{D06702F8-F5F4-41FB-BA11-B2023B5B68A7}">
    <text>For all state taxes, (lines 21,23,24), Change Y to AC when data come in</text>
  </threadedComment>
  <threadedComment ref="V27" dT="2023-07-27T13:56:35.04" personId="{2C68A5A1-706F-4A3E-93A3-741BBABEC4EA}" id="{9443444D-0A20-425F-9300-C411DBC65A0D}">
    <text>Drag my predecessor forward in August 2023!! (Corporate taxes come in late, and we couldn't update in July!)</text>
  </threadedComment>
  <threadedComment ref="W27" dT="2023-10-26T13:36:43.23" personId="{609654FB-393E-4954-B3A3-EDB231775774}" id="{8773E616-7533-4D96-8216-0F45303BCB01}">
    <text>Drag this forward in November, by the same logic as in the previous cell.</text>
  </threadedComment>
  <threadedComment ref="X27" dT="2024-01-24T19:07:35.34" personId="{09FAC3F1-DFDB-4CF8-9903-358701529E2B}" id="{F4C081DF-9BF8-4221-BECE-CB42A30EB5BC}">
    <text>Drag this forward in February because we get Q4 data one month late.</text>
  </threadedComment>
  <threadedComment ref="Y27" dT="2024-07-25T15:32:48.53" personId="{09FAC3F1-DFDB-4CF8-9903-358701529E2B}" id="{FA85206C-2107-4C24-ACB7-B7A58E6685DD}">
    <text>Drag this forward in August because we get corporate taxes a month late.</text>
  </threadedComment>
  <threadedComment ref="Z27" dT="2024-08-29T14:14:21.83" personId="{09FAC3F1-DFDB-4CF8-9903-358701529E2B}" id="{F748C468-F3C4-4E41-BF45-75E421D4EB9E}">
    <text>Drag this forward in November because we get taxes a month late.</text>
  </threadedComment>
  <threadedComment ref="AA27" dT="2024-11-26T20:16:59.30" personId="{09FAC3F1-DFDB-4CF8-9903-358701529E2B}" id="{D570B77E-B816-43C6-ACEF-79E4AFAEEA7C}">
    <text xml:space="preserve">Drag this forward in March. </text>
  </threadedComment>
  <threadedComment ref="AB27" dT="2025-04-29T13:43:13.39" personId="{B61C96CF-201E-4FBB-AE0C-863888EC2CC5}" id="{637B160A-FB62-428D-8639-3B976C548310}">
    <text xml:space="preserve">Drag this forward in May - we get corporate taxes a month late. 
</text>
  </threadedComment>
  <threadedComment ref="AC27" dT="2025-05-29T15:29:35.91" personId="{B61C96CF-201E-4FBB-AE0C-863888EC2CC5}" id="{0E1DCCB8-4FAC-4DBF-BF0B-DBB504838328}">
    <text>Drag this forward in August - we get corporate taxes a month late.</text>
  </threadedComment>
  <threadedComment ref="K38" dT="2023-09-29T18:40:36.76" personId="{2C68A5A1-706F-4A3E-93A3-741BBABEC4EA}" id="{1065F4CB-52AB-4B92-B793-654578199E67}">
    <text>We adjusted these growth rates upward because CBO expected taxes to fall gradually but instead they fell quickly.</text>
  </threadedComment>
  <threadedComment ref="K42" dT="2024-02-29T21:02:38.53" personId="{4C0C5F85-AD1E-4C57-B372-003AF5B78A9F}" id="{6EA59173-A6A4-4520-BC55-CD373EBDD6E4}">
    <text>We reduced the CBO growth rate from 36% to 10% because it seemed anomolously high</text>
  </threadedComment>
  <threadedComment ref="L42" dT="2024-02-29T21:03:05.03" personId="{4C0C5F85-AD1E-4C57-B372-003AF5B78A9F}" id="{B7BB92B9-56AF-428A-90BE-8769E0F9A367}">
    <text>We increased the CBO growth rate to account for our large adjustment in the previous year</text>
  </threadedComment>
  <threadedComment ref="M42" dT="2024-05-30T19:58:14.22" personId="{2C68A5A1-706F-4A3E-93A3-741BBABEC4EA}" id="{F12C7BC9-1DAF-45BE-BFCA-781CDA4BC7CD}">
    <text>Another additional add factor, similar to comment to the left</text>
  </threadedComment>
  <threadedComment ref="D58" dT="2023-02-15T20:39:04.10" personId="{609654FB-393E-4954-B3A3-EDB231775774}" id="{54F6D9F3-8868-417E-999A-B95E2C1FC589}">
    <text>May 2023 CBO Budget Projections Table 1 Row 12</text>
  </threadedComment>
  <threadedComment ref="D58" dT="2024-02-22T14:31:10.89" personId="{09FAC3F1-DFDB-4CF8-9903-358701529E2B}" id="{5AD6BF73-9438-4F75-A02E-C3EAB6B7E7E0}" parentId="{54F6D9F3-8868-417E-999A-B95E2C1FC589}">
    <text>Feb 2024 CBO Budget Projections Table 1-1 Row 10</text>
  </threadedComment>
  <threadedComment ref="D58" dT="2024-06-27T14:27:47.87" personId="{2C68A5A1-706F-4A3E-93A3-741BBABEC4EA}" id="{B8639833-1036-486E-B271-B2B70A5F4327}" parentId="{54F6D9F3-8868-417E-999A-B95E2C1FC589}">
    <text>June 2024 CBO Budget Projections Table 1-1 Row 10</text>
  </threadedComment>
  <threadedComment ref="D58" dT="2025-01-23T19:50:30.29" personId="{B61C96CF-201E-4FBB-AE0C-863888EC2CC5}" id="{9BB771C0-1D7D-4A18-A691-345E41F1D0D3}" parentId="{54F6D9F3-8868-417E-999A-B95E2C1FC589}">
    <text>January 2025 CBO Budget Projections Table B-1 Row 11 from 2024 onward</text>
  </threadedComment>
  <threadedComment ref="M58"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2" dT="2023-02-15T20:40:59.29" personId="{609654FB-393E-4954-B3A3-EDB231775774}" id="{1FB99C5A-E921-4C2B-94A6-469F8368DE8C}">
    <text>February 2023 Budget Projections Table 1 Row 13</text>
  </threadedComment>
  <threadedComment ref="D62" dT="2023-07-27T18:42:32.97" personId="{609654FB-393E-4954-B3A3-EDB231775774}" id="{6C707ADF-070D-4A54-B1A8-849B2DDA53F5}" parentId="{1FB99C5A-E921-4C2B-94A6-469F8368DE8C}">
    <text>These are now May 2023 Budget Projections Table 1 row 13</text>
  </threadedComment>
  <threadedComment ref="D62" dT="2024-02-22T14:36:16.32" personId="{09FAC3F1-DFDB-4CF8-9903-358701529E2B}" id="{9F895A21-C5E6-4F14-982E-DE530E6FCE79}" parentId="{1FB99C5A-E921-4C2B-94A6-469F8368DE8C}">
    <text>February 2024 CBO Budget Projections Table 1-1 Row 11</text>
  </threadedComment>
  <threadedComment ref="D62" dT="2024-06-27T14:28:28.14" personId="{2C68A5A1-706F-4A3E-93A3-741BBABEC4EA}" id="{AAC1A7F3-5101-4D77-A002-FBE231A1A27C}" parentId="{1FB99C5A-E921-4C2B-94A6-469F8368DE8C}">
    <text>June 2024 CBO Budget Projections Table 1-1 Row 11</text>
  </threadedComment>
  <threadedComment ref="D62" dT="2025-01-23T19:51:13.49" personId="{B61C96CF-201E-4FBB-AE0C-863888EC2CC5}" id="{68A5C0C3-6669-4F13-AC97-1C28D413955D}" parentId="{1FB99C5A-E921-4C2B-94A6-469F8368DE8C}">
    <text>January 2025 CBO Budget Projections Table B-1 Row 12 from 2024 onward</text>
  </threadedComment>
  <threadedComment ref="D64" dT="2023-02-15T20:49:24.23" personId="{609654FB-393E-4954-B3A3-EDB231775774}" id="{CE0F5DCB-3CCE-4E3D-A6E4-2AC8A4A5F19D}">
    <text>February 2023 CBO Budget Projections Table 1-6 Row 14</text>
  </threadedComment>
  <threadedComment ref="D64" dT="2024-02-22T14:44:59.03" personId="{09FAC3F1-DFDB-4CF8-9903-358701529E2B}" id="{570B49A8-6692-4986-87A6-4A3AB8B43DB9}" parentId="{CE0F5DCB-3CCE-4E3D-A6E4-2AC8A4A5F19D}">
    <text>February 2024 CBO Budget Projections Table 1-7 Row 14</text>
  </threadedComment>
  <threadedComment ref="D64" dT="2024-06-27T21:11:02.98" personId="{09FAC3F1-DFDB-4CF8-9903-358701529E2B}" id="{987C1579-7615-47DB-BE54-85464A342721}" parentId="{CE0F5DCB-3CCE-4E3D-A6E4-2AC8A4A5F19D}">
    <text>June 2024 CBO Revenue Projections by Category, Revenue Projections, Row 14</text>
  </threadedComment>
  <threadedComment ref="D64" dT="2025-01-24T16:18:13.91" personId="{09FAC3F1-DFDB-4CF8-9903-358701529E2B}" id="{1E08FE26-99AD-439F-9B14-3A00B6D3A357}" parentId="{CE0F5DCB-3CCE-4E3D-A6E4-2AC8A4A5F19D}">
    <text>January 2025 CBO Revenue Projections, by Category, Revenue Projections Row 14</text>
  </threadedComment>
  <threadedComment ref="D65" dT="2023-02-15T20:50:01.14" personId="{609654FB-393E-4954-B3A3-EDB231775774}" id="{B0E96582-484F-445D-8FF5-3592B5A172FA}">
    <text>February 2023 CBO Budget Projections Table 1-6 Row 16</text>
  </threadedComment>
  <threadedComment ref="D65" dT="2024-02-22T14:45:22.24" personId="{09FAC3F1-DFDB-4CF8-9903-358701529E2B}" id="{4F586962-5804-4FED-852B-7ABCF3DF98B2}" parentId="{B0E96582-484F-445D-8FF5-3592B5A172FA}">
    <text>February 2024 CBO Budget Projections Table 1-7, row 16</text>
  </threadedComment>
  <threadedComment ref="D65" dT="2024-06-27T21:11:21.66" personId="{09FAC3F1-DFDB-4CF8-9903-358701529E2B}" id="{86CF1027-BCEB-4550-AD6D-A909A0CEF61D}" parentId="{B0E96582-484F-445D-8FF5-3592B5A172FA}">
    <text>June 2024 CBO Revenue Projections, Revenue Projections Sheet, Row 16</text>
  </threadedComment>
  <threadedComment ref="D65" dT="2025-01-24T16:20:10.43" personId="{09FAC3F1-DFDB-4CF8-9903-358701529E2B}" id="{DBED5F51-4B7C-4207-861F-042671FF4D0B}" parentId="{B0E96582-484F-445D-8FF5-3592B5A172FA}">
    <text xml:space="preserve">January 2025 CBO Revenue Projections, Revenue Projections Sheet, Row 15
</text>
  </threadedComment>
  <threadedComment ref="D66" dT="2023-02-15T20:51:09.94" personId="{609654FB-393E-4954-B3A3-EDB231775774}" id="{E6B5A35A-07FA-4F2B-9A9E-866D21A47917}">
    <text>May 2023 CBO Budget Projections Table 1 Row 14</text>
  </threadedComment>
  <threadedComment ref="D66" dT="2024-02-22T14:47:44.47" personId="{09FAC3F1-DFDB-4CF8-9903-358701529E2B}" id="{E777AE82-BE55-4B42-9F51-8E1C71456A8B}" parentId="{E6B5A35A-07FA-4F2B-9A9E-866D21A47917}">
    <text>February 2023 CBO Budget Projections Table 1-1, row 12</text>
  </threadedComment>
  <threadedComment ref="D66" dT="2024-06-27T14:32:38.18" personId="{2C68A5A1-706F-4A3E-93A3-741BBABEC4EA}" id="{0FB34D58-0EA7-45D9-9687-C1C4AAD9A17B}" parentId="{E6B5A35A-07FA-4F2B-9A9E-866D21A47917}">
    <text>June 2024 CBO Budget projections table 1-1 row 12</text>
  </threadedComment>
  <threadedComment ref="D66" dT="2025-01-23T19:53:53.10" personId="{B61C96CF-201E-4FBB-AE0C-863888EC2CC5}" id="{8A6D3A49-6F1B-46FD-9724-1E601D11143C}" parentId="{E6B5A35A-07FA-4F2B-9A9E-866D21A47917}">
    <text>January 2025 CBO Budget Projections Table B-1 row 13 from 2024 onward</text>
  </threadedComment>
  <threadedComment ref="M66" dT="2024-05-30T19:35:19.75" personId="{2C68A5A1-706F-4A3E-93A3-741BBABEC4EA}" id="{4A8F6F92-75ED-4D7D-9EAC-6799BA8D11ED}" done="1">
    <text xml:space="preserve">See comment in M56 on using CBO estimate of TCJA not expiring
</text>
  </threadedComment>
  <threadedComment ref="D86" dT="2023-02-15T20:53:24.39" personId="{609654FB-393E-4954-B3A3-EDB231775774}" id="{BAC4C9C5-057D-4522-9D5B-345501733B13}">
    <text>February 2023 CBO Economic Projections Fiscal Year Table row 92</text>
  </threadedComment>
  <threadedComment ref="D86" dT="2023-07-27T18:46:48.63" personId="{609654FB-393E-4954-B3A3-EDB231775774}" id="{64D40D74-2A66-4530-BD07-3D55C243D880}" parentId="{BAC4C9C5-057D-4522-9D5B-345501733B13}">
    <text>July 2023 now</text>
  </threadedComment>
  <threadedComment ref="D86" dT="2024-02-22T15:10:21.02" personId="{09FAC3F1-DFDB-4CF8-9903-358701529E2B}" id="{9188F4B5-7FFF-4AD3-B884-A6BD992DF509}" parentId="{BAC4C9C5-057D-4522-9D5B-345501733B13}">
    <text>This is now February 2024 CBO Economic Projections Fiscal Year Sheet, row 94</text>
  </threadedComment>
  <threadedComment ref="D86" dT="2024-06-27T14:34:45.71" personId="{2C68A5A1-706F-4A3E-93A3-741BBABEC4EA}" id="{87A09169-659E-458F-A9F3-D0AB63E74083}" parentId="{BAC4C9C5-057D-4522-9D5B-345501733B13}">
    <text>June 2024 Econ projections Fiscal Year sheet row 94. Pasted for 2021 onward</text>
  </threadedComment>
  <threadedComment ref="D86" dT="2025-01-23T19:55:46.36" personId="{B61C96CF-201E-4FBB-AE0C-863888EC2CC5}" id="{C8B714F8-96D3-466B-B532-40F653B70695}" parentId="{BAC4C9C5-057D-4522-9D5B-345501733B13}">
    <text>January 2025 Economic Projections Fiscal Year Sheet row 94 from 2022 onward</text>
  </threadedComment>
  <threadedComment ref="D87" dT="2023-02-15T20:55:16.88" personId="{609654FB-393E-4954-B3A3-EDB231775774}" id="{903D683D-E956-41A0-87A0-4A0ACF2A3EC0}">
    <text>February 2023 CBO Economic Projections Fiscal Year Table row 96</text>
  </threadedComment>
  <threadedComment ref="D87" dT="2023-07-27T18:46:54.82" personId="{609654FB-393E-4954-B3A3-EDB231775774}" id="{D9697230-6007-4D86-9D27-2784C2D59C94}" parentId="{903D683D-E956-41A0-87A0-4A0ACF2A3EC0}">
    <text>July 2023 now</text>
  </threadedComment>
  <threadedComment ref="D87" dT="2024-02-22T15:12:46.20" personId="{09FAC3F1-DFDB-4CF8-9903-358701529E2B}" id="{5EB79390-D49F-4610-A389-9A566FE7B07F}" parentId="{903D683D-E956-41A0-87A0-4A0ACF2A3EC0}">
    <text>This is now February 2024 CBO Economic Projections Fiscal Year Table row, row 98</text>
  </threadedComment>
  <threadedComment ref="D87" dT="2024-06-27T14:35:02.92" personId="{2C68A5A1-706F-4A3E-93A3-741BBABEC4EA}" id="{7727E27A-5B75-4F93-BBAF-2B2028A6DBD6}" parentId="{903D683D-E956-41A0-87A0-4A0ACF2A3EC0}">
    <text>June 2024 Econ projections Fiscal Year sheet row 98. Pasted for 2021 onward</text>
  </threadedComment>
  <threadedComment ref="D87" dT="2025-01-23T21:37:17.60" personId="{B61C96CF-201E-4FBB-AE0C-863888EC2CC5}" id="{421872A7-87D1-4196-9B5A-B2E80B7BB76C}" parentId="{903D683D-E956-41A0-87A0-4A0ACF2A3EC0}">
    <text>January 2025 Economic Projections Fiscal Year Row 98 from 2022 onward</text>
  </threadedComment>
  <threadedComment ref="D88" dT="2023-02-15T20:56:03.85" personId="{609654FB-393E-4954-B3A3-EDB231775774}" id="{3EBCE0D2-6A48-4CE9-BC8C-5855F5261D1F}">
    <text>February 2023 CBO Economic Projections, Fiscal Year Table row 116</text>
  </threadedComment>
  <threadedComment ref="D88" dT="2023-07-27T18:47:32.66" personId="{609654FB-393E-4954-B3A3-EDB231775774}" id="{A6D061A0-2D6B-4586-A606-81C5A9C89977}" parentId="{3EBCE0D2-6A48-4CE9-BC8C-5855F5261D1F}">
    <text>July now</text>
  </threadedComment>
  <threadedComment ref="D88" dT="2024-02-22T15:13:36.88" personId="{09FAC3F1-DFDB-4CF8-9903-358701529E2B}" id="{5B0E85F2-3E88-4DE5-B75D-A1DFDE5E2251}" parentId="{3EBCE0D2-6A48-4CE9-BC8C-5855F5261D1F}">
    <text>February 2024 CBO Economic Projections, Fiscal Year Table, row 118</text>
  </threadedComment>
  <threadedComment ref="D88" dT="2024-06-27T14:36:46.17" personId="{2C68A5A1-706F-4A3E-93A3-741BBABEC4EA}" id="{742D0AD1-132D-49B8-ACB8-D7A00789C5CC}" parentId="{3EBCE0D2-6A48-4CE9-BC8C-5855F5261D1F}">
    <text>June 2024 CBO Economic Projections, Fiscal Year Table, row 118 pasted from 2021 onward</text>
  </threadedComment>
  <threadedComment ref="D88" dT="2025-01-23T21:39:29.83" personId="{B61C96CF-201E-4FBB-AE0C-863888EC2CC5}" id="{6020325F-C5B2-4C57-9D5F-797314CE5F4D}" parentId="{3EBCE0D2-6A48-4CE9-BC8C-5855F5261D1F}">
    <text>January 2025 CBO Economic Projections, Fiscal Year Table, row 118 from 2022 onward</text>
  </threadedComment>
  <threadedComment ref="D89" dT="2023-02-15T20:57:01.88" personId="{609654FB-393E-4954-B3A3-EDB231775774}" id="{48184811-5BD0-438A-8E38-4FDE0C8DFA8F}">
    <text>February 2023 CBO Economic Projections Fiscal Year Table row 110</text>
  </threadedComment>
  <threadedComment ref="D89" dT="2023-07-27T18:47:56.03" personId="{609654FB-393E-4954-B3A3-EDB231775774}" id="{42694EC8-B4D2-4CD1-BAD5-30DE831C4BF2}" parentId="{48184811-5BD0-438A-8E38-4FDE0C8DFA8F}">
    <text>July now</text>
  </threadedComment>
  <threadedComment ref="D89" dT="2024-02-22T15:15:43.17" personId="{09FAC3F1-DFDB-4CF8-9903-358701529E2B}" id="{7286570C-B0B2-4C53-B491-EBC2A429EFF9}" parentId="{48184811-5BD0-438A-8E38-4FDE0C8DFA8F}">
    <text>This is now February 2024 CBO Economic Projections Fiscal Year Table, row 112</text>
  </threadedComment>
  <threadedComment ref="D89" dT="2024-06-27T14:37:42.80" personId="{2C68A5A1-706F-4A3E-93A3-741BBABEC4EA}" id="{BDF2F21B-F60E-4F9C-A5EF-0E83248D90F2}" parentId="{48184811-5BD0-438A-8E38-4FDE0C8DFA8F}">
    <text>June 2024 CBO Economic Projections Fiscal Year Table, row 112 from 2021 onward</text>
  </threadedComment>
  <threadedComment ref="D89" dT="2025-01-23T21:41:08.62" personId="{B61C96CF-201E-4FBB-AE0C-863888EC2CC5}" id="{011DCA9C-1890-4EF7-A312-8EB8CBDC7AA3}" parentId="{48184811-5BD0-438A-8E38-4FDE0C8DFA8F}">
    <text>January 2025 CBO Economic Projections Fiscal Year Table, row 112 from 2022 onward</text>
  </threadedComment>
  <threadedComment ref="D110" dT="2023-02-15T21:14:11.24" personId="{609654FB-393E-4954-B3A3-EDB231775774}" id="{D2748782-D0E6-49AC-8A19-1F2FBF9255CC}">
    <text>February 2023 CBO Economic Projections Quarterly Table, row 96</text>
  </threadedComment>
  <threadedComment ref="D110" dT="2023-07-27T18:51:44.27" personId="{609654FB-393E-4954-B3A3-EDB231775774}" id="{7967E3A9-28DA-40F3-87FB-C23201CBC514}" parentId="{D2748782-D0E6-49AC-8A19-1F2FBF9255CC}">
    <text>Same table and row, July 2023</text>
  </threadedComment>
  <threadedComment ref="D110" dT="2024-02-22T15:28:26.88" personId="{09FAC3F1-DFDB-4CF8-9903-358701529E2B}" id="{3C76C544-F68F-455F-86CF-8627D74B7C59}" parentId="{D2748782-D0E6-49AC-8A19-1F2FBF9255CC}">
    <text>February 2024 CBO Economic Projections Quarterly Table, row 98</text>
  </threadedComment>
  <threadedComment ref="D110" dT="2024-06-27T14:40:11.35" personId="{2C68A5A1-706F-4A3E-93A3-741BBABEC4EA}" id="{A345901C-E565-4819-91C3-A4DED1F11875}" parentId="{D2748782-D0E6-49AC-8A19-1F2FBF9255CC}">
    <text>Ju 2024 economic projections quarterly table row 98 pasted from 2021 Q1 onward</text>
  </threadedComment>
  <threadedComment ref="D110" dT="2025-01-23T21:43:23.67" personId="{B61C96CF-201E-4FBB-AE0C-863888EC2CC5}" id="{CB6EDD8C-BF86-43D7-A30F-4806F4D077D6}" parentId="{D2748782-D0E6-49AC-8A19-1F2FBF9255CC}">
    <text>January 2025 Economic Projections Quarterly Table, Row 98 from 2022 Q1 onward</text>
  </threadedComment>
  <threadedComment ref="D111" dT="2023-02-15T21:14:52.42" personId="{609654FB-393E-4954-B3A3-EDB231775774}" id="{A46F7C4F-6912-4219-A6BF-9B291D29572E}">
    <text>February 2023 CBO Economic Projections quarterly tables, row 98</text>
  </threadedComment>
  <threadedComment ref="D111" dT="2023-07-27T18:51:58.38" personId="{609654FB-393E-4954-B3A3-EDB231775774}" id="{7A0F03B6-E33D-4474-9555-B84E69B17617}" parentId="{A46F7C4F-6912-4219-A6BF-9B291D29572E}">
    <text>Same table and row, July 2023</text>
  </threadedComment>
  <threadedComment ref="D111" dT="2024-02-22T15:30:49.62" personId="{09FAC3F1-DFDB-4CF8-9903-358701529E2B}" id="{8B50D8B1-7987-47E1-B1DC-D2F70DCC216E}" parentId="{A46F7C4F-6912-4219-A6BF-9B291D29572E}">
    <text>February 2024 CBO Economic Projections quarterly tables, row 100</text>
  </threadedComment>
  <threadedComment ref="D111" dT="2024-06-27T14:41:16.43" personId="{2C68A5A1-706F-4A3E-93A3-741BBABEC4EA}" id="{6425957B-D42C-489A-A538-4AA95EC109FD}" parentId="{A46F7C4F-6912-4219-A6BF-9B291D29572E}">
    <text>June 2024 CBO Economic Projections Quarterly table row 100 from 2021 Q1 onward</text>
  </threadedComment>
  <threadedComment ref="D111" dT="2025-01-23T21:44:55.46" personId="{B61C96CF-201E-4FBB-AE0C-863888EC2CC5}" id="{98CFB5AA-E68D-4003-A1AB-EA789D5B11B9}" parentId="{A46F7C4F-6912-4219-A6BF-9B291D29572E}">
    <text>January 2025 CBO Economic Projections Quarterly Table, Row 100 from 2022 Q1 onward</text>
  </threadedComment>
  <threadedComment ref="D112" dT="2023-02-15T21:15:38.27" personId="{609654FB-393E-4954-B3A3-EDB231775774}" id="{76E953CB-BD49-43CF-8F2D-8BFB47D725D7}">
    <text>February 2023 CBO Economic Projections quarterly table, row 116</text>
  </threadedComment>
  <threadedComment ref="D112" dT="2023-07-27T18:51:50.61" personId="{609654FB-393E-4954-B3A3-EDB231775774}" id="{5483793C-0C25-47A5-BAF9-EF712CAD7D04}" parentId="{76E953CB-BD49-43CF-8F2D-8BFB47D725D7}">
    <text>Same table and row, July 2023</text>
  </threadedComment>
  <threadedComment ref="D112" dT="2024-02-22T15:37:14.65" personId="{09FAC3F1-DFDB-4CF8-9903-358701529E2B}" id="{385DCECF-44A3-4344-9011-2A6CE78C506F}" parentId="{76E953CB-BD49-43CF-8F2D-8BFB47D725D7}">
    <text>This is now February 2024 CBO Economic Projections Quarterly Table, row 118</text>
  </threadedComment>
  <threadedComment ref="D112"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12" dT="2025-01-23T21:45:46.12" personId="{B61C96CF-201E-4FBB-AE0C-863888EC2CC5}" id="{8C2B4E67-5388-4A6C-AD4C-0897E488E469}" parentId="{76E953CB-BD49-43CF-8F2D-8BFB47D725D7}">
    <text>January 2025 CBO Economic Projections Quarterly Table, Row 118 from 2022 Q1 onward</text>
  </threadedComment>
  <threadedComment ref="D113" dT="2023-02-15T21:16:25.78" personId="{609654FB-393E-4954-B3A3-EDB231775774}" id="{8FB584A5-2B54-4AD8-94A1-F46A717E4FE5}">
    <text>February 2023 CBO Economic Projections quarterly table row 112</text>
  </threadedComment>
  <threadedComment ref="D113" dT="2023-07-27T18:52:05.52" personId="{609654FB-393E-4954-B3A3-EDB231775774}" id="{0C631DB7-7EAD-4CD2-978E-4DD9468CD3B1}" parentId="{8FB584A5-2B54-4AD8-94A1-F46A717E4FE5}">
    <text>Same table and row, July 2023</text>
  </threadedComment>
  <threadedComment ref="D113" dT="2024-02-22T15:42:56.34" personId="{09FAC3F1-DFDB-4CF8-9903-358701529E2B}" id="{19BF4626-D0E8-42B5-BD70-3452F9A463CA}" parentId="{8FB584A5-2B54-4AD8-94A1-F46A717E4FE5}">
    <text>February 2024 CBO Economic Projections quarterly table row 114 corporate profits domestic</text>
  </threadedComment>
  <threadedComment ref="D113"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13"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6" dT="2023-04-27T03:02:33.18" personId="{2C68A5A1-706F-4A3E-93A3-741BBABEC4EA}" id="{65B2F617-D738-4757-983D-98D9DB3870FB}">
    <text>I can't drag these over because of circular references.</text>
  </threadedComment>
  <threadedComment ref="V139" dT="2023-07-27T14:08:57.55" personId="{2C68A5A1-706F-4A3E-93A3-741BBABEC4EA}" id="{0AC09EFD-8A54-444C-A82D-77111C533292}">
    <text>Drag my predecessor forward in August 2023!! (Corporate taxes come in late, and we couldn't update in July!)</text>
  </threadedComment>
  <threadedComment ref="W139" dT="2023-10-26T13:42:51.37" personId="{609654FB-393E-4954-B3A3-EDB231775774}" id="{1B45073C-05DE-4E50-B57C-9DA43CA3E5DB}">
    <text>Drag forward in November by same logic as in previous cell.</text>
  </threadedComment>
  <threadedComment ref="X139" dT="2024-01-24T19:09:22.97" personId="{09FAC3F1-DFDB-4CF8-9903-358701529E2B}" id="{1EFE3D94-A914-4335-ADA0-94B1C8F72E64}">
    <text>Drag forward in February because we get Q4 Data 1 month late.</text>
  </threadedComment>
  <threadedComment ref="Y139" dT="2024-07-25T15:51:05.68" personId="{09FAC3F1-DFDB-4CF8-9903-358701529E2B}" id="{C31DCF28-75B2-4DBC-B036-BE5C96FD6331}">
    <text xml:space="preserve">Drag forward in August because we get the data a month late. </text>
  </threadedComment>
  <threadedComment ref="Z139" dT="2024-08-29T14:15:29.25" personId="{09FAC3F1-DFDB-4CF8-9903-358701529E2B}" id="{50A49FB6-37DC-43B3-965C-43A7195061F6}">
    <text xml:space="preserve">Drag this forward in November because we get taxes a month late. </text>
  </threadedComment>
  <threadedComment ref="AA139" dT="2025-01-31T15:14:38.88" personId="{B61C96CF-201E-4FBB-AE0C-863888EC2CC5}" id="{25B0BED1-95A1-48C5-AB16-3FDF328CCCC4}">
    <text xml:space="preserve">Drag this forward in February because we get taxes a month late. </text>
  </threadedComment>
  <threadedComment ref="AC139" dT="2025-05-29T15:32:21.65" personId="{B61C96CF-201E-4FBB-AE0C-863888EC2CC5}" id="{C8938404-1076-4863-A6A6-D4BDB8C94503}">
    <text>Drag this forward in August because we get taxes a month late.</text>
  </threadedComment>
</ThreadedComments>
</file>

<file path=xl/threadedComments/threadedComment14.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6.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7.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ea.gov/news/current-release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bea.gov/news/current-releas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openxmlformats.org/officeDocument/2006/relationships/comments" Target="../comments2.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vmlDrawing" Target="../drawings/vmlDrawing2.v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drawing" Target="../drawings/drawing2.xml"/><Relationship Id="rId5" Type="http://schemas.openxmlformats.org/officeDocument/2006/relationships/hyperlink" Target="https://www.bea.gov/help/faq/1407" TargetMode="External"/><Relationship Id="rId10" Type="http://schemas.openxmlformats.org/officeDocument/2006/relationships/printerSettings" Target="../printerSettings/printerSettings10.bin"/><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 Id="rId1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3.bin"/><Relationship Id="rId1" Type="http://schemas.openxmlformats.org/officeDocument/2006/relationships/pivotTable" Target="../pivotTables/pivotTable1.xml"/><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4.bin"/><Relationship Id="rId1" Type="http://schemas.openxmlformats.org/officeDocument/2006/relationships/pivotTable" Target="../pivotTables/pivotTable2.xml"/><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5.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6.bin"/><Relationship Id="rId7" Type="http://schemas.microsoft.com/office/2017/10/relationships/threadedComment" Target="../threadedComments/threadedComment7.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7.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8.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9.bin"/><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hyperlink" Target="https://www.cbo.gov/system/files/2023-03/58983-IDR.pdf" TargetMode="External"/><Relationship Id="rId6" Type="http://schemas.microsoft.com/office/2017/10/relationships/threadedComment" Target="../threadedComments/threadedComment11.xm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3.xml"/><Relationship Id="rId1" Type="http://schemas.openxmlformats.org/officeDocument/2006/relationships/printerSettings" Target="../printerSettings/printerSettings21.bin"/><Relationship Id="rId5" Type="http://schemas.microsoft.com/office/2017/10/relationships/threadedComment" Target="../threadedComments/threadedComment12.xml"/><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23.bin"/><Relationship Id="rId5" Type="http://schemas.microsoft.com/office/2017/10/relationships/threadedComment" Target="../threadedComments/threadedComment13.xml"/><Relationship Id="rId4" Type="http://schemas.openxmlformats.org/officeDocument/2006/relationships/comments" Target="../comments13.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6.xml"/><Relationship Id="rId1" Type="http://schemas.openxmlformats.org/officeDocument/2006/relationships/printerSettings" Target="../printerSettings/printerSettings24.bin"/><Relationship Id="rId5" Type="http://schemas.microsoft.com/office/2017/10/relationships/threadedComment" Target="../threadedComments/threadedComment14.xml"/><Relationship Id="rId4" Type="http://schemas.openxmlformats.org/officeDocument/2006/relationships/comments" Target="../comments1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7.xml"/><Relationship Id="rId1" Type="http://schemas.openxmlformats.org/officeDocument/2006/relationships/printerSettings" Target="../printerSettings/printerSettings25.bin"/><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americanactionforum.org/research/tracker-paycheck-protection-program-loans/"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cbo.gov/publication/56517"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5" Type="http://schemas.openxmlformats.org/officeDocument/2006/relationships/printerSettings" Target="../printerSettings/printerSettings31.bin"/><Relationship Id="rId4" Type="http://schemas.openxmlformats.org/officeDocument/2006/relationships/hyperlink" Target="https://www.cbo.gov/system/files/2022-09/PL117-169_9-7-22.pdf" TargetMode="Externa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9.xml"/><Relationship Id="rId1" Type="http://schemas.openxmlformats.org/officeDocument/2006/relationships/printerSettings" Target="../printerSettings/printerSettings32.bin"/><Relationship Id="rId6" Type="http://schemas.microsoft.com/office/2017/10/relationships/threadedComment" Target="../threadedComments/threadedComment16.xml"/><Relationship Id="rId5" Type="http://schemas.openxmlformats.org/officeDocument/2006/relationships/comments" Target="../comments16.xml"/><Relationship Id="rId4" Type="http://schemas.openxmlformats.org/officeDocument/2006/relationships/table" Target="../tables/table1.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0.xml"/><Relationship Id="rId1" Type="http://schemas.openxmlformats.org/officeDocument/2006/relationships/printerSettings" Target="../printerSettings/printerSettings33.bin"/><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3A6A-88BD-424A-847A-D84BE7EE210D}">
  <dimension ref="B1:AO53"/>
  <sheetViews>
    <sheetView zoomScale="85" zoomScaleNormal="85" workbookViewId="0">
      <pane xSplit="3" ySplit="9" topLeftCell="D10" activePane="bottomRight" state="frozen"/>
      <selection pane="topRight" activeCell="D1" sqref="D1"/>
      <selection pane="bottomLeft" activeCell="A10" sqref="A10"/>
      <selection pane="bottomRight" activeCell="D27" sqref="D27"/>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253" t="s">
        <v>54</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219"/>
      <c r="AE1" s="219"/>
      <c r="AF1" s="219"/>
      <c r="AG1" s="219"/>
      <c r="AH1" s="219"/>
    </row>
    <row r="2" spans="2:41" ht="14.25" customHeight="1" x14ac:dyDescent="0.35">
      <c r="B2" s="1254" t="s">
        <v>856</v>
      </c>
      <c r="C2" s="1254"/>
      <c r="D2" s="1254"/>
      <c r="E2" s="1254"/>
      <c r="F2" s="1254"/>
      <c r="G2" s="1254"/>
      <c r="H2" s="1254"/>
      <c r="I2" s="1254"/>
      <c r="J2" s="1254"/>
      <c r="K2" s="1254"/>
      <c r="L2" s="1254"/>
      <c r="M2" s="1254"/>
      <c r="N2" s="1254"/>
      <c r="O2" s="1254"/>
      <c r="P2" s="1254"/>
      <c r="Q2" s="1254"/>
      <c r="R2" s="1254"/>
      <c r="S2" s="1254"/>
      <c r="T2" s="1254"/>
      <c r="U2" s="1254"/>
      <c r="V2" s="1255" t="s">
        <v>904</v>
      </c>
      <c r="W2" s="1255"/>
      <c r="X2" s="1255"/>
      <c r="Y2" s="1255"/>
      <c r="Z2" s="1255"/>
      <c r="AA2" s="1255"/>
      <c r="AB2" s="1255"/>
      <c r="AC2" s="591"/>
      <c r="AD2" s="591"/>
      <c r="AE2" s="591"/>
      <c r="AF2" s="591"/>
      <c r="AG2" s="591"/>
      <c r="AH2" s="591"/>
    </row>
    <row r="3" spans="2:41" ht="59.9" hidden="1" customHeight="1" x14ac:dyDescent="0.35">
      <c r="B3" s="1254"/>
      <c r="C3" s="1254"/>
      <c r="D3" s="1254"/>
      <c r="E3" s="1254"/>
      <c r="F3" s="1254"/>
      <c r="G3" s="1254"/>
      <c r="H3" s="1254"/>
      <c r="I3" s="1254"/>
      <c r="J3" s="1254"/>
      <c r="K3" s="1254"/>
      <c r="L3" s="1254"/>
      <c r="M3" s="1254"/>
      <c r="N3" s="1254"/>
      <c r="O3" s="1254"/>
      <c r="P3" s="1254"/>
      <c r="Q3" s="1254"/>
      <c r="R3" s="1254"/>
      <c r="S3" s="1254"/>
      <c r="T3" s="1254"/>
      <c r="U3" s="1254"/>
      <c r="V3" s="1255"/>
      <c r="W3" s="1255"/>
      <c r="X3" s="1255"/>
      <c r="Y3" s="1255"/>
      <c r="Z3" s="1255"/>
      <c r="AA3" s="1255"/>
      <c r="AB3" s="1255"/>
      <c r="AC3" s="591"/>
      <c r="AD3" s="591"/>
      <c r="AE3" s="591"/>
      <c r="AF3" s="591"/>
      <c r="AG3" s="591"/>
      <c r="AH3" s="591"/>
    </row>
    <row r="4" spans="2:41" ht="88.5" customHeight="1" x14ac:dyDescent="0.35">
      <c r="B4" s="1254"/>
      <c r="C4" s="1254"/>
      <c r="D4" s="1254"/>
      <c r="E4" s="1254"/>
      <c r="F4" s="1254"/>
      <c r="G4" s="1254"/>
      <c r="H4" s="1254"/>
      <c r="I4" s="1254"/>
      <c r="J4" s="1254"/>
      <c r="K4" s="1254"/>
      <c r="L4" s="1254"/>
      <c r="M4" s="1254"/>
      <c r="N4" s="1254"/>
      <c r="O4" s="1254"/>
      <c r="P4" s="1254"/>
      <c r="Q4" s="1254"/>
      <c r="R4" s="1254"/>
      <c r="S4" s="1254"/>
      <c r="T4" s="1254"/>
      <c r="U4" s="1254"/>
      <c r="V4" s="1255"/>
      <c r="W4" s="1255"/>
      <c r="X4" s="1255"/>
      <c r="Y4" s="1255"/>
      <c r="Z4" s="1255"/>
      <c r="AA4" s="1255"/>
      <c r="AB4" s="1255"/>
      <c r="AC4" s="591"/>
      <c r="AD4" s="591"/>
      <c r="AE4" s="591"/>
      <c r="AF4" s="591"/>
      <c r="AG4" s="591"/>
      <c r="AH4" s="591"/>
    </row>
    <row r="5" spans="2:41" ht="33" customHeight="1" x14ac:dyDescent="0.35">
      <c r="B5" s="591"/>
      <c r="C5" s="591"/>
      <c r="D5" s="591"/>
      <c r="E5" s="591"/>
      <c r="F5" s="591"/>
      <c r="G5" s="591"/>
      <c r="H5" s="591"/>
      <c r="I5" s="591"/>
      <c r="J5" s="591"/>
      <c r="K5" s="591"/>
      <c r="L5" s="591"/>
      <c r="M5" s="591"/>
      <c r="N5" s="591"/>
      <c r="O5" s="591"/>
      <c r="P5" s="591"/>
      <c r="Q5" s="591"/>
      <c r="R5" s="591"/>
      <c r="S5" s="591"/>
      <c r="T5" s="591"/>
      <c r="U5" s="591"/>
      <c r="V5" s="591"/>
      <c r="W5" s="591"/>
      <c r="X5" s="591"/>
      <c r="Y5" s="591"/>
      <c r="Z5" s="591"/>
      <c r="AA5" s="591"/>
      <c r="AB5" s="591"/>
      <c r="AC5" s="591"/>
      <c r="AD5" s="591"/>
      <c r="AE5" s="591"/>
      <c r="AF5" s="591"/>
      <c r="AG5" s="591"/>
      <c r="AH5" s="591"/>
    </row>
    <row r="6" spans="2:41" x14ac:dyDescent="0.35">
      <c r="B6" s="591"/>
      <c r="C6" s="591"/>
      <c r="D6" s="591"/>
      <c r="E6" s="591"/>
      <c r="F6" s="591"/>
      <c r="G6" s="591"/>
      <c r="H6" s="591"/>
      <c r="I6" s="591"/>
      <c r="J6" s="591"/>
      <c r="K6" s="591"/>
      <c r="L6" s="591"/>
      <c r="M6" s="591"/>
      <c r="N6" s="591"/>
      <c r="O6" s="591"/>
      <c r="P6" s="591"/>
      <c r="Q6" s="591"/>
      <c r="R6" s="591"/>
      <c r="S6" s="591"/>
      <c r="T6" s="591"/>
      <c r="U6" s="591"/>
      <c r="V6" s="591"/>
      <c r="W6" s="591"/>
      <c r="X6" s="591"/>
      <c r="Y6" s="591"/>
      <c r="Z6" s="591"/>
      <c r="AA6" s="591"/>
      <c r="AB6" s="591"/>
      <c r="AC6" s="591"/>
      <c r="AD6" s="591"/>
      <c r="AE6" s="591"/>
      <c r="AF6" s="591"/>
      <c r="AG6" s="591"/>
      <c r="AH6" s="591"/>
    </row>
    <row r="7" spans="2:41" ht="14.9" customHeight="1" x14ac:dyDescent="0.35">
      <c r="B7" s="1256" t="s">
        <v>402</v>
      </c>
      <c r="C7" s="1257"/>
      <c r="D7" s="1260" t="s">
        <v>279</v>
      </c>
      <c r="E7" s="1260"/>
      <c r="F7" s="1260"/>
      <c r="G7" s="1260"/>
      <c r="H7" s="1260"/>
      <c r="I7" s="1260"/>
      <c r="J7" s="1260"/>
      <c r="K7" s="1260"/>
      <c r="L7" s="1260"/>
      <c r="M7" s="1260"/>
      <c r="N7" s="1260"/>
      <c r="O7" s="1260"/>
      <c r="P7" s="1260"/>
      <c r="Q7" s="1260"/>
      <c r="R7" s="1260"/>
      <c r="S7" s="1260"/>
      <c r="T7" s="1260"/>
      <c r="U7" s="1260"/>
      <c r="V7" s="1260"/>
      <c r="W7" s="1260"/>
      <c r="X7" s="1260"/>
      <c r="Y7" s="1260"/>
      <c r="Z7" s="1260"/>
      <c r="AA7" s="1260"/>
      <c r="AB7" s="1260"/>
      <c r="AC7" s="1261" t="s">
        <v>280</v>
      </c>
      <c r="AD7" s="1262"/>
      <c r="AE7" s="1262"/>
      <c r="AF7" s="1262"/>
      <c r="AG7" s="1262"/>
      <c r="AH7" s="1262"/>
      <c r="AI7" s="1262"/>
      <c r="AJ7" s="1262"/>
      <c r="AK7" s="1262"/>
      <c r="AL7" s="1262"/>
      <c r="AM7" s="1262"/>
      <c r="AN7" s="1263"/>
    </row>
    <row r="8" spans="2:41" x14ac:dyDescent="0.35">
      <c r="B8" s="1258"/>
      <c r="C8" s="1259"/>
      <c r="D8" s="293">
        <v>2018</v>
      </c>
      <c r="E8" s="1264">
        <v>2019</v>
      </c>
      <c r="F8" s="1265"/>
      <c r="G8" s="1265"/>
      <c r="H8" s="1266"/>
      <c r="I8" s="1264">
        <v>2020</v>
      </c>
      <c r="J8" s="1265"/>
      <c r="K8" s="1265"/>
      <c r="L8" s="1265"/>
      <c r="M8" s="1264">
        <v>2021</v>
      </c>
      <c r="N8" s="1265"/>
      <c r="O8" s="1265"/>
      <c r="P8" s="1265"/>
      <c r="Q8" s="1264">
        <v>2022</v>
      </c>
      <c r="R8" s="1265"/>
      <c r="S8" s="1265"/>
      <c r="T8" s="1266"/>
      <c r="U8" s="299"/>
      <c r="V8" s="299">
        <v>2023</v>
      </c>
      <c r="W8" s="299"/>
      <c r="X8" s="306"/>
      <c r="Y8" s="453"/>
      <c r="Z8" s="299">
        <v>2024</v>
      </c>
      <c r="AA8" s="299"/>
      <c r="AB8" s="306"/>
      <c r="AC8" s="1270">
        <v>2025</v>
      </c>
      <c r="AD8" s="1271"/>
      <c r="AE8" s="1271"/>
      <c r="AF8" s="1272"/>
      <c r="AG8" s="1270">
        <v>2026</v>
      </c>
      <c r="AH8" s="1271"/>
      <c r="AI8" s="1271"/>
      <c r="AJ8" s="1272"/>
      <c r="AK8" s="1270">
        <v>2027</v>
      </c>
      <c r="AL8" s="1271"/>
      <c r="AM8" s="1271"/>
      <c r="AN8" s="1272"/>
      <c r="AO8" s="245"/>
    </row>
    <row r="9" spans="2:41" x14ac:dyDescent="0.35">
      <c r="B9" s="1258"/>
      <c r="C9" s="1259"/>
      <c r="D9" s="221" t="s">
        <v>281</v>
      </c>
      <c r="E9" s="221" t="s">
        <v>282</v>
      </c>
      <c r="F9" s="222" t="s">
        <v>283</v>
      </c>
      <c r="G9" s="222" t="s">
        <v>238</v>
      </c>
      <c r="H9" s="1237" t="s">
        <v>281</v>
      </c>
      <c r="I9" s="222" t="s">
        <v>282</v>
      </c>
      <c r="J9" s="222" t="s">
        <v>283</v>
      </c>
      <c r="K9" s="222" t="s">
        <v>238</v>
      </c>
      <c r="L9" s="222" t="s">
        <v>281</v>
      </c>
      <c r="M9" s="221" t="s">
        <v>282</v>
      </c>
      <c r="N9" s="222" t="s">
        <v>283</v>
      </c>
      <c r="O9" s="222" t="s">
        <v>238</v>
      </c>
      <c r="P9" s="222" t="s">
        <v>281</v>
      </c>
      <c r="Q9" s="221" t="s">
        <v>282</v>
      </c>
      <c r="R9" s="222" t="s">
        <v>283</v>
      </c>
      <c r="S9" s="222" t="s">
        <v>238</v>
      </c>
      <c r="T9" s="1237" t="s">
        <v>281</v>
      </c>
      <c r="U9" s="222" t="s">
        <v>282</v>
      </c>
      <c r="V9" s="283" t="s">
        <v>283</v>
      </c>
      <c r="W9" s="283" t="s">
        <v>238</v>
      </c>
      <c r="X9" s="281" t="s">
        <v>281</v>
      </c>
      <c r="Y9" s="282" t="s">
        <v>282</v>
      </c>
      <c r="Z9" s="288" t="s">
        <v>283</v>
      </c>
      <c r="AA9" s="283" t="s">
        <v>238</v>
      </c>
      <c r="AB9" s="283" t="s">
        <v>281</v>
      </c>
      <c r="AC9" s="282" t="s">
        <v>282</v>
      </c>
      <c r="AD9" s="267" t="s">
        <v>283</v>
      </c>
      <c r="AE9" s="269" t="s">
        <v>238</v>
      </c>
      <c r="AF9" s="269" t="s">
        <v>281</v>
      </c>
      <c r="AG9" s="232" t="s">
        <v>282</v>
      </c>
      <c r="AH9" s="267" t="s">
        <v>283</v>
      </c>
      <c r="AI9" s="267" t="s">
        <v>238</v>
      </c>
      <c r="AJ9" s="286" t="s">
        <v>281</v>
      </c>
      <c r="AK9" s="232" t="s">
        <v>282</v>
      </c>
      <c r="AL9" s="267" t="s">
        <v>283</v>
      </c>
      <c r="AM9" s="267" t="s">
        <v>238</v>
      </c>
      <c r="AN9" s="286" t="s">
        <v>281</v>
      </c>
      <c r="AO9" s="229"/>
    </row>
    <row r="10" spans="2:41" x14ac:dyDescent="0.35">
      <c r="B10" s="567" t="s">
        <v>101</v>
      </c>
      <c r="C10" s="724" t="s">
        <v>428</v>
      </c>
      <c r="D10" s="1244">
        <f>'[1]Haver Pivoted'!GO13</f>
        <v>589.5</v>
      </c>
      <c r="E10" s="571">
        <f>'[1]Haver Pivoted'!GP13</f>
        <v>598.70000000000005</v>
      </c>
      <c r="F10" s="571">
        <f>'[1]Haver Pivoted'!GQ13</f>
        <v>614.4</v>
      </c>
      <c r="G10" s="571">
        <f>'[1]Haver Pivoted'!GR13</f>
        <v>622.4</v>
      </c>
      <c r="H10" s="571">
        <f>'[1]Haver Pivoted'!GS13</f>
        <v>620.6</v>
      </c>
      <c r="I10" s="571">
        <f>'[1]Haver Pivoted'!GT13</f>
        <v>606.5</v>
      </c>
      <c r="J10" s="571">
        <f>'[1]Haver Pivoted'!GU13</f>
        <v>654.6</v>
      </c>
      <c r="K10" s="571">
        <f>'[1]Haver Pivoted'!GV13</f>
        <v>690.8</v>
      </c>
      <c r="L10" s="571">
        <f>'[1]Haver Pivoted'!GW13</f>
        <v>678.6</v>
      </c>
      <c r="M10" s="571">
        <f>'[1]Haver Pivoted'!GX13</f>
        <v>704.9</v>
      </c>
      <c r="N10" s="571">
        <f>'[1]Haver Pivoted'!GY13</f>
        <v>745.6</v>
      </c>
      <c r="O10" s="571">
        <f>'[1]Haver Pivoted'!GZ13</f>
        <v>749.2</v>
      </c>
      <c r="P10" s="571">
        <f>'[1]Haver Pivoted'!HA13</f>
        <v>746.3</v>
      </c>
      <c r="Q10" s="571">
        <f>'[1]Haver Pivoted'!HB13</f>
        <v>791.9</v>
      </c>
      <c r="R10" s="571">
        <f>'[1]Haver Pivoted'!HC13</f>
        <v>819.2</v>
      </c>
      <c r="S10" s="572">
        <f>'[1]Haver Pivoted'!HD13</f>
        <v>819</v>
      </c>
      <c r="T10" s="572">
        <f>'[1]Haver Pivoted'!HE13</f>
        <v>827.5</v>
      </c>
      <c r="U10" s="572">
        <f>'[1]Haver Pivoted'!HF13</f>
        <v>877.6</v>
      </c>
      <c r="V10" s="572">
        <f>'[1]Haver Pivoted'!HG13</f>
        <v>911.6</v>
      </c>
      <c r="W10" s="572">
        <f>'[1]Haver Pivoted'!HH13</f>
        <v>867.2</v>
      </c>
      <c r="X10" s="572">
        <f>'[1]Haver Pivoted'!HI13</f>
        <v>856.2</v>
      </c>
      <c r="Y10" s="572">
        <f>'[1]Haver Pivoted'!HJ13</f>
        <v>904.8</v>
      </c>
      <c r="Z10" s="572">
        <f>'[1]Haver Pivoted'!HK13</f>
        <v>924.7</v>
      </c>
      <c r="AA10" s="572">
        <f>'[1]Haver Pivoted'!HL13</f>
        <v>932.4</v>
      </c>
      <c r="AB10" s="572">
        <f>'[1]Haver Pivoted'!HM13</f>
        <v>944.8</v>
      </c>
      <c r="AC10" s="572">
        <f>'[1]Haver Pivoted'!HN13</f>
        <v>957.6</v>
      </c>
      <c r="AD10" s="326"/>
      <c r="AE10" s="326"/>
      <c r="AF10" s="326"/>
      <c r="AG10" s="326"/>
      <c r="AH10" s="326"/>
      <c r="AI10" s="326"/>
      <c r="AJ10" s="326"/>
      <c r="AK10" s="326"/>
      <c r="AL10" s="326"/>
      <c r="AM10" s="326"/>
      <c r="AN10" s="326"/>
    </row>
    <row r="11" spans="2:41" x14ac:dyDescent="0.35">
      <c r="B11" s="559" t="s">
        <v>429</v>
      </c>
      <c r="C11" s="245" t="s">
        <v>338</v>
      </c>
      <c r="D11" s="588">
        <f>'[1]Haver Pivoted'!GO40</f>
        <v>391.92099999999999</v>
      </c>
      <c r="E11" s="503">
        <f>'[1]Haver Pivoted'!GP40</f>
        <v>405.36799999999999</v>
      </c>
      <c r="F11" s="503">
        <f>'[1]Haver Pivoted'!GQ40</f>
        <v>414.19600000000003</v>
      </c>
      <c r="G11" s="503">
        <f>'[1]Haver Pivoted'!GR40</f>
        <v>418.68599999999998</v>
      </c>
      <c r="H11" s="503">
        <f>'[1]Haver Pivoted'!GS40</f>
        <v>416.185</v>
      </c>
      <c r="I11" s="503">
        <f>'[1]Haver Pivoted'!GT40</f>
        <v>422.89</v>
      </c>
      <c r="J11" s="503">
        <f>'[1]Haver Pivoted'!GU40</f>
        <v>502.90600000000001</v>
      </c>
      <c r="K11" s="503">
        <f>'[1]Haver Pivoted'!GV40</f>
        <v>484.48</v>
      </c>
      <c r="L11" s="503">
        <f>'[1]Haver Pivoted'!GW40</f>
        <v>509.88400000000001</v>
      </c>
      <c r="M11" s="503">
        <f>'[1]Haver Pivoted'!GX40</f>
        <v>499.42899999999997</v>
      </c>
      <c r="N11" s="503">
        <f>'[1]Haver Pivoted'!GY40</f>
        <v>520.79</v>
      </c>
      <c r="O11" s="503">
        <f>'[1]Haver Pivoted'!GZ40</f>
        <v>545.32600000000002</v>
      </c>
      <c r="P11" s="503">
        <f>'[1]Haver Pivoted'!HA40</f>
        <v>567.61</v>
      </c>
      <c r="Q11" s="503">
        <f>'[1]Haver Pivoted'!HB40</f>
        <v>589.92700000000002</v>
      </c>
      <c r="R11" s="503">
        <f>'[1]Haver Pivoted'!HC40</f>
        <v>585.74599999999998</v>
      </c>
      <c r="S11" s="563">
        <f>'[1]Haver Pivoted'!HD40</f>
        <v>617.88900000000001</v>
      </c>
      <c r="T11" s="563">
        <f>'[1]Haver Pivoted'!HE40</f>
        <v>611.67999999999995</v>
      </c>
      <c r="U11" s="563">
        <f>'[1]Haver Pivoted'!HF40</f>
        <v>632.66</v>
      </c>
      <c r="V11" s="563">
        <f>'[1]Haver Pivoted'!HG40</f>
        <v>628.88699999999994</v>
      </c>
      <c r="W11" s="563">
        <f>'[1]Haver Pivoted'!HH40</f>
        <v>585.98400000000004</v>
      </c>
      <c r="X11" s="563">
        <f>'[1]Haver Pivoted'!HI40</f>
        <v>612.03399999999999</v>
      </c>
      <c r="Y11" s="563">
        <f>'[1]Haver Pivoted'!HJ40</f>
        <v>618.72699999999998</v>
      </c>
      <c r="Z11" s="563">
        <f>'[1]Haver Pivoted'!HK40</f>
        <v>628.15700000000004</v>
      </c>
      <c r="AA11" s="563">
        <f>'[1]Haver Pivoted'!HL40</f>
        <v>641.23699999999997</v>
      </c>
      <c r="AB11" s="563">
        <f>'[1]Haver Pivoted'!HM40</f>
        <v>655.17499999999995</v>
      </c>
      <c r="AC11" s="563">
        <f>'[1]Haver Pivoted'!HN40</f>
        <v>647.03</v>
      </c>
      <c r="AD11" s="326"/>
      <c r="AE11" s="326"/>
      <c r="AF11" s="326"/>
      <c r="AG11" s="326"/>
      <c r="AH11" s="326"/>
      <c r="AI11" s="326"/>
      <c r="AJ11" s="326"/>
      <c r="AK11" s="326"/>
      <c r="AL11" s="326"/>
      <c r="AM11" s="326"/>
      <c r="AN11" s="326"/>
    </row>
    <row r="12" spans="2:41" ht="27.65" customHeight="1" x14ac:dyDescent="0.35">
      <c r="B12" s="533" t="s">
        <v>888</v>
      </c>
      <c r="C12" s="35"/>
      <c r="D12" s="590">
        <f t="shared" ref="D12:AC12" si="0">D11/D10</f>
        <v>0.66483630195080579</v>
      </c>
      <c r="E12" s="576">
        <f t="shared" si="0"/>
        <v>0.67708034073826617</v>
      </c>
      <c r="F12" s="576">
        <f t="shared" si="0"/>
        <v>0.67414713541666671</v>
      </c>
      <c r="G12" s="576">
        <f t="shared" si="0"/>
        <v>0.67269601542416446</v>
      </c>
      <c r="H12" s="576">
        <f t="shared" si="0"/>
        <v>0.67061714469867872</v>
      </c>
      <c r="I12" s="576">
        <f t="shared" si="0"/>
        <v>0.69726298433635614</v>
      </c>
      <c r="J12" s="576">
        <f t="shared" si="0"/>
        <v>0.76826458906202255</v>
      </c>
      <c r="K12" s="576">
        <f t="shared" si="0"/>
        <v>0.70133178922987849</v>
      </c>
      <c r="L12" s="576">
        <f t="shared" si="0"/>
        <v>0.75137636310050104</v>
      </c>
      <c r="M12" s="576">
        <f t="shared" si="0"/>
        <v>0.70851042701092348</v>
      </c>
      <c r="N12" s="576">
        <f t="shared" si="0"/>
        <v>0.69848444206008575</v>
      </c>
      <c r="O12" s="576">
        <f t="shared" si="0"/>
        <v>0.72787773625200214</v>
      </c>
      <c r="P12" s="576">
        <f t="shared" si="0"/>
        <v>0.76056545625083749</v>
      </c>
      <c r="Q12" s="576">
        <f t="shared" si="0"/>
        <v>0.74495138275034734</v>
      </c>
      <c r="R12" s="576">
        <f t="shared" si="0"/>
        <v>0.71502197265624989</v>
      </c>
      <c r="S12" s="1245">
        <f>S11/S10</f>
        <v>0.75444322344322345</v>
      </c>
      <c r="T12" s="1245">
        <f t="shared" si="0"/>
        <v>0.73919033232628395</v>
      </c>
      <c r="U12" s="1245">
        <f t="shared" si="0"/>
        <v>0.72089790337283499</v>
      </c>
      <c r="V12" s="1245">
        <f t="shared" si="0"/>
        <v>0.68987165423431318</v>
      </c>
      <c r="W12" s="1245">
        <f t="shared" si="0"/>
        <v>0.67571955719557197</v>
      </c>
      <c r="X12" s="1245">
        <f t="shared" si="0"/>
        <v>0.71482597523943003</v>
      </c>
      <c r="Y12" s="1245">
        <f t="shared" si="0"/>
        <v>0.68382736516357212</v>
      </c>
      <c r="Z12" s="1245">
        <f t="shared" si="0"/>
        <v>0.67930896506975236</v>
      </c>
      <c r="AA12" s="1245">
        <f t="shared" si="0"/>
        <v>0.68772737022737018</v>
      </c>
      <c r="AB12" s="1245">
        <f t="shared" si="0"/>
        <v>0.6934536409822184</v>
      </c>
      <c r="AC12" s="1245">
        <f t="shared" si="0"/>
        <v>0.67567878028404338</v>
      </c>
      <c r="AD12" s="592">
        <f t="shared" ref="AD12:AN12" si="1">AVERAGE(Z12:AC12)</f>
        <v>0.68404218914084614</v>
      </c>
      <c r="AE12" s="592">
        <f t="shared" si="1"/>
        <v>0.68522549515861941</v>
      </c>
      <c r="AF12" s="592">
        <f t="shared" si="1"/>
        <v>0.68460002639143192</v>
      </c>
      <c r="AG12" s="592">
        <f t="shared" si="1"/>
        <v>0.68238662274373518</v>
      </c>
      <c r="AH12" s="592">
        <f t="shared" si="1"/>
        <v>0.68406358335865813</v>
      </c>
      <c r="AI12" s="592">
        <f t="shared" si="1"/>
        <v>0.68406893191311124</v>
      </c>
      <c r="AJ12" s="592">
        <f t="shared" si="1"/>
        <v>0.68377979110173404</v>
      </c>
      <c r="AK12" s="592">
        <f t="shared" si="1"/>
        <v>0.68357473227930954</v>
      </c>
      <c r="AL12" s="592">
        <f t="shared" si="1"/>
        <v>0.68387175966320313</v>
      </c>
      <c r="AM12" s="592">
        <f t="shared" si="1"/>
        <v>0.6838238037393396</v>
      </c>
      <c r="AN12" s="592">
        <f t="shared" si="1"/>
        <v>0.68376252169589646</v>
      </c>
    </row>
    <row r="13" spans="2:41" ht="27.65" customHeight="1" x14ac:dyDescent="0.35">
      <c r="O13" s="56"/>
      <c r="P13" s="56"/>
      <c r="Q13" s="56"/>
      <c r="R13" s="56"/>
      <c r="S13" s="56"/>
      <c r="T13" s="56"/>
      <c r="Y13" s="564"/>
      <c r="Z13" s="564"/>
      <c r="AA13" s="564"/>
      <c r="AB13" s="564"/>
      <c r="AC13" s="564"/>
      <c r="AD13" s="564"/>
      <c r="AE13" s="564"/>
      <c r="AF13" s="564"/>
      <c r="AG13" s="564"/>
      <c r="AH13" s="564"/>
      <c r="AI13" s="56"/>
    </row>
    <row r="14" spans="2:41" x14ac:dyDescent="0.35">
      <c r="O14" s="56"/>
      <c r="P14" s="245"/>
      <c r="Q14" s="56"/>
      <c r="R14" s="56"/>
      <c r="S14" s="56"/>
      <c r="T14" s="503"/>
      <c r="Y14" s="229"/>
      <c r="Z14" s="229"/>
      <c r="AA14" s="229"/>
      <c r="AB14" s="229"/>
      <c r="AC14" s="229"/>
      <c r="AD14" s="229"/>
      <c r="AE14" s="229"/>
      <c r="AF14" s="229"/>
      <c r="AG14" s="229"/>
      <c r="AH14" s="229"/>
      <c r="AI14" s="56"/>
    </row>
    <row r="15" spans="2:41" x14ac:dyDescent="0.35">
      <c r="B15" s="523" t="s">
        <v>351</v>
      </c>
      <c r="O15" s="56"/>
      <c r="P15" s="245"/>
      <c r="Q15" s="56"/>
      <c r="R15" s="56"/>
      <c r="S15" s="56"/>
      <c r="T15" s="503"/>
      <c r="Y15" s="229"/>
      <c r="Z15" s="229"/>
      <c r="AA15" s="229"/>
      <c r="AB15" s="229"/>
      <c r="AC15" s="229"/>
      <c r="AD15" s="229"/>
      <c r="AE15" s="229"/>
      <c r="AF15" s="229"/>
      <c r="AG15" s="229"/>
      <c r="AH15" s="229"/>
      <c r="AI15" s="56"/>
    </row>
    <row r="16" spans="2:41" ht="25.4" customHeight="1" x14ac:dyDescent="0.35">
      <c r="B16" s="1228" t="s">
        <v>430</v>
      </c>
      <c r="C16" s="568">
        <v>2020</v>
      </c>
      <c r="D16" s="568">
        <v>2021</v>
      </c>
      <c r="E16" s="568">
        <v>2022</v>
      </c>
      <c r="F16" s="568">
        <v>2023</v>
      </c>
      <c r="G16" s="568">
        <v>2024</v>
      </c>
      <c r="H16" s="568">
        <v>2025</v>
      </c>
      <c r="I16" s="568">
        <v>2026</v>
      </c>
      <c r="J16" s="568">
        <v>2027</v>
      </c>
      <c r="K16" s="569">
        <v>2028</v>
      </c>
      <c r="O16" s="56"/>
      <c r="P16" s="245"/>
      <c r="Q16" s="56"/>
      <c r="R16" s="56"/>
      <c r="S16" s="56"/>
      <c r="T16" s="564"/>
      <c r="U16" s="564"/>
      <c r="V16" s="564"/>
      <c r="W16" s="564"/>
      <c r="X16" s="564"/>
      <c r="Y16" s="564"/>
      <c r="Z16" s="564"/>
      <c r="AA16" s="564"/>
      <c r="AB16" s="564"/>
      <c r="AC16" s="564"/>
      <c r="AD16" s="564"/>
      <c r="AE16" s="564"/>
      <c r="AF16" s="564"/>
      <c r="AG16" s="564"/>
      <c r="AH16" s="564"/>
      <c r="AI16" s="56"/>
    </row>
    <row r="17" spans="2:41" ht="31.5" customHeight="1" x14ac:dyDescent="0.35">
      <c r="B17" s="1249" t="s">
        <v>1964</v>
      </c>
      <c r="C17" s="255">
        <v>458.46800000000002</v>
      </c>
      <c r="D17" s="266">
        <v>520.58799999999997</v>
      </c>
      <c r="E17" s="266">
        <v>591.94899999999996</v>
      </c>
      <c r="F17" s="266">
        <v>615.77200000000005</v>
      </c>
      <c r="G17" s="266">
        <v>617.51700000000005</v>
      </c>
      <c r="H17" s="266">
        <v>655.87</v>
      </c>
      <c r="I17" s="266">
        <v>695.20899999999995</v>
      </c>
      <c r="J17" s="266">
        <v>737.62</v>
      </c>
      <c r="K17" s="1239">
        <v>766.58699999999999</v>
      </c>
      <c r="L17" s="266">
        <v>803.17</v>
      </c>
      <c r="M17" s="266">
        <v>836.60199999999998</v>
      </c>
      <c r="N17" s="266">
        <v>870.99400000000003</v>
      </c>
      <c r="O17" s="266">
        <v>910.18399999999997</v>
      </c>
      <c r="P17" s="266">
        <v>947.56500000000005</v>
      </c>
      <c r="Q17" s="266">
        <v>985.65899999999999</v>
      </c>
      <c r="R17" s="266">
        <v>1025.287</v>
      </c>
      <c r="S17" s="56"/>
      <c r="T17" s="56"/>
      <c r="U17" s="56"/>
      <c r="V17" s="56"/>
      <c r="W17" s="56"/>
      <c r="X17" s="56"/>
      <c r="Y17" s="56"/>
      <c r="Z17" s="56"/>
      <c r="AA17" s="56"/>
      <c r="AB17" s="56"/>
      <c r="AC17" s="56"/>
      <c r="AD17" s="56"/>
      <c r="AE17" s="56"/>
      <c r="AF17" s="56"/>
      <c r="AH17" s="56"/>
      <c r="AI17" s="56"/>
    </row>
    <row r="18" spans="2:41" x14ac:dyDescent="0.35">
      <c r="B18" s="559" t="s">
        <v>431</v>
      </c>
      <c r="C18" s="564">
        <f>AVERAGE(H12:K12)</f>
        <v>0.70936912683173392</v>
      </c>
      <c r="D18" s="564">
        <f>AVERAGE(L12:O12)</f>
        <v>0.72156224210587805</v>
      </c>
      <c r="E18" s="564">
        <f>AVERAGE(P12:S12)</f>
        <v>0.74374550877516454</v>
      </c>
      <c r="F18" s="564">
        <f>AVERAGE(T12:W12)</f>
        <v>0.70641986178225102</v>
      </c>
      <c r="G18" s="564">
        <f>AVERAGE(X12:AA12)</f>
        <v>0.6914224189250312</v>
      </c>
      <c r="H18" s="564">
        <f>AVERAGE(Y12:AB12)</f>
        <v>0.68607933536072829</v>
      </c>
      <c r="I18" s="564">
        <f>AVERAGE(AB12:AE12)</f>
        <v>0.68460002639143192</v>
      </c>
      <c r="J18" s="564">
        <f>AVERAGE(AA12:AI12)</f>
        <v>0.68458296002222596</v>
      </c>
      <c r="K18" s="1238"/>
    </row>
    <row r="19" spans="2:41" x14ac:dyDescent="0.35">
      <c r="B19" s="559" t="s">
        <v>432</v>
      </c>
      <c r="C19" s="229">
        <f t="shared" ref="C19:K19" si="2">C17/C18</f>
        <v>646.30385318242224</v>
      </c>
      <c r="D19" s="229">
        <f t="shared" si="2"/>
        <v>721.47344972024155</v>
      </c>
      <c r="E19" s="229">
        <f t="shared" si="2"/>
        <v>795.90262128083259</v>
      </c>
      <c r="F19" s="229">
        <f t="shared" si="2"/>
        <v>871.67990781919355</v>
      </c>
      <c r="G19" s="229">
        <f t="shared" si="2"/>
        <v>893.11104629795852</v>
      </c>
      <c r="H19" s="229">
        <f t="shared" si="2"/>
        <v>955.96816023493147</v>
      </c>
      <c r="I19" s="229">
        <f t="shared" si="2"/>
        <v>1015.4966012263958</v>
      </c>
      <c r="J19" s="229">
        <f t="shared" si="2"/>
        <v>1077.4735029572635</v>
      </c>
      <c r="K19" s="1240" t="e">
        <f t="shared" si="2"/>
        <v>#DIV/0!</v>
      </c>
    </row>
    <row r="20" spans="2:41" ht="32.25" customHeight="1" x14ac:dyDescent="0.35">
      <c r="B20" s="533" t="s">
        <v>433</v>
      </c>
      <c r="C20" s="554"/>
      <c r="D20" s="576">
        <f>D19/C19-1</f>
        <v>0.11630689832295071</v>
      </c>
      <c r="E20" s="576">
        <f t="shared" ref="E20:K20" si="3">E19/D19-1</f>
        <v>0.10316273119884278</v>
      </c>
      <c r="F20" s="576">
        <f t="shared" si="3"/>
        <v>9.5209243583610492E-2</v>
      </c>
      <c r="G20" s="576">
        <f t="shared" si="3"/>
        <v>2.4586018659512598E-2</v>
      </c>
      <c r="H20" s="576">
        <f t="shared" si="3"/>
        <v>7.037995353155968E-2</v>
      </c>
      <c r="I20" s="576">
        <f t="shared" si="3"/>
        <v>6.2270317639904427E-2</v>
      </c>
      <c r="J20" s="576">
        <f t="shared" si="3"/>
        <v>6.1031126698030569E-2</v>
      </c>
      <c r="K20" s="1241" t="e">
        <f t="shared" si="3"/>
        <v>#DIV/0!</v>
      </c>
      <c r="L20" s="578"/>
      <c r="R20" s="56"/>
      <c r="S20" s="526"/>
      <c r="T20" s="526"/>
      <c r="U20" s="526"/>
    </row>
    <row r="21" spans="2:41" ht="32.25" customHeight="1" x14ac:dyDescent="0.35">
      <c r="B21" s="280"/>
      <c r="C21" s="229"/>
      <c r="D21" s="564"/>
      <c r="E21" s="564"/>
      <c r="F21" s="564"/>
      <c r="G21" s="564"/>
      <c r="H21" s="564"/>
      <c r="I21" s="564"/>
      <c r="J21" s="564"/>
      <c r="K21" s="578"/>
      <c r="L21" s="578"/>
      <c r="R21" s="56"/>
      <c r="S21" s="526"/>
      <c r="T21" s="526"/>
      <c r="U21" s="526"/>
    </row>
    <row r="23" spans="2:41" x14ac:dyDescent="0.35">
      <c r="B23" s="523" t="s">
        <v>364</v>
      </c>
    </row>
    <row r="24" spans="2:41" x14ac:dyDescent="0.35">
      <c r="B24" s="1256" t="s">
        <v>434</v>
      </c>
      <c r="C24" s="1273"/>
      <c r="D24" s="1276" t="s">
        <v>279</v>
      </c>
      <c r="E24" s="1277"/>
      <c r="F24" s="1277"/>
      <c r="G24" s="1277"/>
      <c r="H24" s="1277"/>
      <c r="I24" s="1277"/>
      <c r="J24" s="1277"/>
      <c r="K24" s="1277"/>
      <c r="L24" s="1277"/>
      <c r="M24" s="1277"/>
      <c r="N24" s="1277"/>
      <c r="O24" s="1277"/>
      <c r="P24" s="1277"/>
      <c r="Q24" s="1277"/>
      <c r="R24" s="1277"/>
      <c r="S24" s="1277"/>
      <c r="T24" s="1277"/>
      <c r="U24" s="1277"/>
      <c r="V24" s="1277"/>
      <c r="W24" s="1277"/>
      <c r="X24" s="1277"/>
      <c r="Y24" s="1277"/>
      <c r="Z24" s="1277"/>
      <c r="AA24" s="1277"/>
      <c r="AB24" s="1278"/>
      <c r="AC24" s="1261" t="s">
        <v>280</v>
      </c>
      <c r="AD24" s="1262"/>
      <c r="AE24" s="1262"/>
      <c r="AF24" s="1262"/>
      <c r="AG24" s="1262"/>
      <c r="AH24" s="1262"/>
      <c r="AI24" s="1262"/>
      <c r="AJ24" s="1262"/>
      <c r="AK24" s="1262"/>
      <c r="AL24" s="1262"/>
      <c r="AM24" s="1262"/>
      <c r="AN24" s="1263"/>
    </row>
    <row r="25" spans="2:41" x14ac:dyDescent="0.35">
      <c r="B25" s="1258"/>
      <c r="C25" s="1259"/>
      <c r="D25" s="293">
        <v>2018</v>
      </c>
      <c r="E25" s="1264">
        <v>2019</v>
      </c>
      <c r="F25" s="1265"/>
      <c r="G25" s="1265"/>
      <c r="H25" s="1266"/>
      <c r="I25" s="1264">
        <v>2020</v>
      </c>
      <c r="J25" s="1265"/>
      <c r="K25" s="1265"/>
      <c r="L25" s="1265"/>
      <c r="M25" s="1264">
        <v>2021</v>
      </c>
      <c r="N25" s="1265"/>
      <c r="O25" s="1265"/>
      <c r="P25" s="1265"/>
      <c r="Q25" s="1264">
        <v>2022</v>
      </c>
      <c r="R25" s="1265"/>
      <c r="S25" s="1265"/>
      <c r="T25" s="1266"/>
      <c r="U25" s="453"/>
      <c r="V25" s="299">
        <v>2023</v>
      </c>
      <c r="W25" s="299"/>
      <c r="X25" s="306"/>
      <c r="Y25" s="453"/>
      <c r="Z25" s="299">
        <v>2024</v>
      </c>
      <c r="AA25" s="299"/>
      <c r="AB25" s="306"/>
      <c r="AC25" s="1270">
        <v>2025</v>
      </c>
      <c r="AD25" s="1271"/>
      <c r="AE25" s="1271"/>
      <c r="AF25" s="1272"/>
      <c r="AG25" s="1270">
        <v>2026</v>
      </c>
      <c r="AH25" s="1271"/>
      <c r="AI25" s="1271"/>
      <c r="AJ25" s="1272"/>
      <c r="AK25" s="1270">
        <v>2027</v>
      </c>
      <c r="AL25" s="1271"/>
      <c r="AM25" s="1271"/>
      <c r="AN25" s="1272"/>
    </row>
    <row r="26" spans="2:41" x14ac:dyDescent="0.35">
      <c r="B26" s="1274"/>
      <c r="C26" s="1275"/>
      <c r="D26" s="221" t="s">
        <v>281</v>
      </c>
      <c r="E26" s="221" t="s">
        <v>282</v>
      </c>
      <c r="F26" s="222" t="s">
        <v>283</v>
      </c>
      <c r="G26" s="222" t="s">
        <v>238</v>
      </c>
      <c r="H26" s="1237" t="s">
        <v>281</v>
      </c>
      <c r="I26" s="222" t="s">
        <v>282</v>
      </c>
      <c r="J26" s="222" t="s">
        <v>283</v>
      </c>
      <c r="K26" s="222" t="s">
        <v>238</v>
      </c>
      <c r="L26" s="222" t="s">
        <v>281</v>
      </c>
      <c r="M26" s="221" t="s">
        <v>282</v>
      </c>
      <c r="N26" s="222" t="s">
        <v>283</v>
      </c>
      <c r="O26" s="222" t="s">
        <v>238</v>
      </c>
      <c r="P26" s="222" t="s">
        <v>281</v>
      </c>
      <c r="Q26" s="221" t="s">
        <v>282</v>
      </c>
      <c r="R26" s="222" t="s">
        <v>283</v>
      </c>
      <c r="S26" s="222" t="s">
        <v>238</v>
      </c>
      <c r="T26" s="1237" t="s">
        <v>281</v>
      </c>
      <c r="U26" s="282" t="s">
        <v>282</v>
      </c>
      <c r="V26" s="288" t="s">
        <v>283</v>
      </c>
      <c r="W26" s="283" t="s">
        <v>238</v>
      </c>
      <c r="X26" s="283" t="s">
        <v>281</v>
      </c>
      <c r="Y26" s="282" t="s">
        <v>282</v>
      </c>
      <c r="Z26" s="288" t="s">
        <v>283</v>
      </c>
      <c r="AA26" s="283" t="s">
        <v>238</v>
      </c>
      <c r="AB26" s="283" t="s">
        <v>281</v>
      </c>
      <c r="AC26" s="282" t="s">
        <v>282</v>
      </c>
      <c r="AD26" s="267" t="s">
        <v>283</v>
      </c>
      <c r="AE26" s="269" t="s">
        <v>238</v>
      </c>
      <c r="AF26" s="269" t="s">
        <v>281</v>
      </c>
      <c r="AG26" s="232" t="s">
        <v>282</v>
      </c>
      <c r="AH26" s="267" t="s">
        <v>283</v>
      </c>
      <c r="AI26" s="267" t="s">
        <v>238</v>
      </c>
      <c r="AJ26" s="286" t="s">
        <v>281</v>
      </c>
      <c r="AK26" s="232" t="s">
        <v>282</v>
      </c>
      <c r="AL26" s="267" t="s">
        <v>283</v>
      </c>
      <c r="AM26" s="267" t="s">
        <v>238</v>
      </c>
      <c r="AN26" s="286" t="s">
        <v>281</v>
      </c>
    </row>
    <row r="27" spans="2:41" ht="19.5" customHeight="1" x14ac:dyDescent="0.35">
      <c r="B27" s="1247" t="s">
        <v>435</v>
      </c>
      <c r="C27" s="1248"/>
      <c r="D27" s="573">
        <f t="shared" ref="D27:AC27" si="4">D10</f>
        <v>589.5</v>
      </c>
      <c r="E27" s="574">
        <f t="shared" si="4"/>
        <v>598.70000000000005</v>
      </c>
      <c r="F27" s="574">
        <f t="shared" si="4"/>
        <v>614.4</v>
      </c>
      <c r="G27" s="574">
        <f t="shared" si="4"/>
        <v>622.4</v>
      </c>
      <c r="H27" s="574">
        <f t="shared" si="4"/>
        <v>620.6</v>
      </c>
      <c r="I27" s="574">
        <f t="shared" si="4"/>
        <v>606.5</v>
      </c>
      <c r="J27" s="574">
        <f t="shared" si="4"/>
        <v>654.6</v>
      </c>
      <c r="K27" s="574">
        <f t="shared" si="4"/>
        <v>690.8</v>
      </c>
      <c r="L27" s="574">
        <f t="shared" si="4"/>
        <v>678.6</v>
      </c>
      <c r="M27" s="574">
        <f t="shared" si="4"/>
        <v>704.9</v>
      </c>
      <c r="N27" s="574">
        <f t="shared" si="4"/>
        <v>745.6</v>
      </c>
      <c r="O27" s="574">
        <f t="shared" si="4"/>
        <v>749.2</v>
      </c>
      <c r="P27" s="574">
        <f t="shared" si="4"/>
        <v>746.3</v>
      </c>
      <c r="Q27" s="574">
        <f t="shared" si="4"/>
        <v>791.9</v>
      </c>
      <c r="R27" s="574">
        <f t="shared" si="4"/>
        <v>819.2</v>
      </c>
      <c r="S27" s="575">
        <f t="shared" si="4"/>
        <v>819</v>
      </c>
      <c r="T27" s="575">
        <f t="shared" si="4"/>
        <v>827.5</v>
      </c>
      <c r="U27" s="575">
        <f t="shared" si="4"/>
        <v>877.6</v>
      </c>
      <c r="V27" s="575">
        <f t="shared" si="4"/>
        <v>911.6</v>
      </c>
      <c r="W27" s="575">
        <f t="shared" si="4"/>
        <v>867.2</v>
      </c>
      <c r="X27" s="575">
        <f t="shared" si="4"/>
        <v>856.2</v>
      </c>
      <c r="Y27" s="575">
        <f t="shared" si="4"/>
        <v>904.8</v>
      </c>
      <c r="Z27" s="575">
        <f t="shared" si="4"/>
        <v>924.7</v>
      </c>
      <c r="AA27" s="575">
        <f t="shared" si="4"/>
        <v>932.4</v>
      </c>
      <c r="AB27" s="575">
        <f t="shared" si="4"/>
        <v>944.8</v>
      </c>
      <c r="AC27" s="575">
        <f t="shared" si="4"/>
        <v>957.6</v>
      </c>
      <c r="AD27" s="1246">
        <f>AC27*(1+$H$20)^0.25+AD28</f>
        <v>969.02169234293717</v>
      </c>
      <c r="AE27" s="1246">
        <f>AD27*(1+$H$20)^0.25+AE28</f>
        <v>985.63925302097391</v>
      </c>
      <c r="AF27" s="1242">
        <f>AE27*(1+$I$20)^0.25+AF28</f>
        <v>1000.6374493152194</v>
      </c>
      <c r="AG27" s="562">
        <f>AF27*(1+$I$20)^0.25+AG28</f>
        <v>1015.8638689593278</v>
      </c>
      <c r="AH27" s="562">
        <f>AG27*(1+$I$20)^0.25+AH28</f>
        <v>1031.3219847640555</v>
      </c>
      <c r="AI27" s="562">
        <f>AH27*(1+$I$20)^0.25+AI28</f>
        <v>1047.0153223849477</v>
      </c>
      <c r="AJ27" s="1242">
        <f>AI27*(1+$J$20)^0.25+AJ28</f>
        <v>1062.6373302089942</v>
      </c>
      <c r="AK27" s="562">
        <f>AJ27*(1+$J$20)^0.25+AK28</f>
        <v>1078.4924264351268</v>
      </c>
      <c r="AL27" s="562">
        <f>AK27*(1+$J$20)^0.25+AL28</f>
        <v>1094.5840888623457</v>
      </c>
      <c r="AM27" s="562">
        <f>AL27*(1+$J$20)^0.25+AM28</f>
        <v>1110.9158471802029</v>
      </c>
      <c r="AN27" s="1242" t="e">
        <f>AM27*(1+$K$20)^0.25+AN28</f>
        <v>#DIV/0!</v>
      </c>
      <c r="AO27" s="1243" t="s">
        <v>1827</v>
      </c>
    </row>
    <row r="28" spans="2:41" ht="19.5" customHeight="1" x14ac:dyDescent="0.35">
      <c r="B28" s="577" t="s">
        <v>1697</v>
      </c>
      <c r="C28" s="263"/>
      <c r="D28" s="587"/>
      <c r="E28" s="560"/>
      <c r="F28" s="560"/>
      <c r="G28" s="560"/>
      <c r="H28" s="560"/>
      <c r="I28" s="560"/>
      <c r="J28" s="560"/>
      <c r="K28" s="560"/>
      <c r="L28" s="560"/>
      <c r="M28" s="560"/>
      <c r="N28" s="560"/>
      <c r="O28" s="560"/>
      <c r="P28" s="560"/>
      <c r="Q28" s="560"/>
      <c r="R28" s="560"/>
      <c r="S28" s="560"/>
      <c r="T28" s="560"/>
      <c r="U28" s="560"/>
      <c r="V28" s="560"/>
      <c r="W28" s="560"/>
      <c r="X28" s="560"/>
      <c r="Y28" s="562"/>
      <c r="Z28" s="562"/>
      <c r="AA28" s="562"/>
      <c r="AB28" s="562"/>
      <c r="AC28" s="562">
        <v>26</v>
      </c>
      <c r="AD28" s="562">
        <v>-5</v>
      </c>
      <c r="AE28" s="562"/>
      <c r="AF28" s="562"/>
      <c r="AG28" s="562"/>
      <c r="AH28" s="562"/>
      <c r="AI28" s="562"/>
      <c r="AJ28" s="562"/>
      <c r="AK28" s="562"/>
      <c r="AL28" s="562"/>
      <c r="AM28" s="562"/>
      <c r="AN28" s="562"/>
    </row>
    <row r="29" spans="2:41" ht="19.399999999999999" customHeight="1" x14ac:dyDescent="0.35">
      <c r="B29" s="577" t="s">
        <v>207</v>
      </c>
      <c r="C29" s="263"/>
      <c r="D29" s="587">
        <f t="shared" ref="D29:Q29" si="5">D10*D12</f>
        <v>391.92099999999999</v>
      </c>
      <c r="E29" s="560">
        <f t="shared" si="5"/>
        <v>405.36799999999999</v>
      </c>
      <c r="F29" s="560">
        <f t="shared" si="5"/>
        <v>414.19600000000003</v>
      </c>
      <c r="G29" s="560">
        <f t="shared" si="5"/>
        <v>418.68599999999992</v>
      </c>
      <c r="H29" s="560">
        <f t="shared" si="5"/>
        <v>416.18500000000006</v>
      </c>
      <c r="I29" s="560">
        <f t="shared" si="5"/>
        <v>422.89</v>
      </c>
      <c r="J29" s="560">
        <f t="shared" si="5"/>
        <v>502.90600000000001</v>
      </c>
      <c r="K29" s="560">
        <f t="shared" si="5"/>
        <v>484.48</v>
      </c>
      <c r="L29" s="560">
        <f t="shared" si="5"/>
        <v>509.88400000000001</v>
      </c>
      <c r="M29" s="560">
        <f t="shared" si="5"/>
        <v>499.42899999999997</v>
      </c>
      <c r="N29" s="560">
        <f t="shared" si="5"/>
        <v>520.79</v>
      </c>
      <c r="O29" s="560">
        <f t="shared" si="5"/>
        <v>545.32600000000002</v>
      </c>
      <c r="P29" s="560">
        <f t="shared" si="5"/>
        <v>567.61</v>
      </c>
      <c r="Q29" s="560">
        <f t="shared" si="5"/>
        <v>589.92700000000002</v>
      </c>
      <c r="R29" s="560">
        <f t="shared" ref="R29:AN29" si="6">R27*R12</f>
        <v>585.74599999999998</v>
      </c>
      <c r="S29" s="560">
        <f t="shared" si="6"/>
        <v>617.88900000000001</v>
      </c>
      <c r="T29" s="560">
        <f t="shared" si="6"/>
        <v>611.67999999999995</v>
      </c>
      <c r="U29" s="560">
        <f t="shared" si="6"/>
        <v>632.66</v>
      </c>
      <c r="V29" s="560">
        <f t="shared" si="6"/>
        <v>628.88699999999994</v>
      </c>
      <c r="W29" s="560">
        <f t="shared" si="6"/>
        <v>585.98400000000004</v>
      </c>
      <c r="X29" s="560">
        <f t="shared" si="6"/>
        <v>612.03399999999999</v>
      </c>
      <c r="Y29" s="562">
        <f t="shared" si="6"/>
        <v>618.72699999999998</v>
      </c>
      <c r="Z29" s="562">
        <f t="shared" si="6"/>
        <v>628.15700000000004</v>
      </c>
      <c r="AA29" s="562">
        <f t="shared" si="6"/>
        <v>641.23699999999997</v>
      </c>
      <c r="AB29" s="562">
        <f t="shared" si="6"/>
        <v>655.17499999999995</v>
      </c>
      <c r="AC29" s="562">
        <f t="shared" si="6"/>
        <v>647.03</v>
      </c>
      <c r="AD29" s="562">
        <f t="shared" si="6"/>
        <v>662.85171975523019</v>
      </c>
      <c r="AE29" s="562">
        <f t="shared" si="6"/>
        <v>675.38514519906857</v>
      </c>
      <c r="AF29" s="562">
        <f t="shared" si="6"/>
        <v>685.03642420945437</v>
      </c>
      <c r="AG29" s="562">
        <f t="shared" si="6"/>
        <v>693.21191470654003</v>
      </c>
      <c r="AH29" s="562">
        <f t="shared" si="6"/>
        <v>705.48981249426322</v>
      </c>
      <c r="AI29" s="562">
        <f t="shared" si="6"/>
        <v>716.23065328053303</v>
      </c>
      <c r="AJ29" s="562">
        <f t="shared" si="6"/>
        <v>726.60993166721039</v>
      </c>
      <c r="AK29" s="562">
        <f t="shared" si="6"/>
        <v>737.23017166565478</v>
      </c>
      <c r="AL29" s="562">
        <f t="shared" si="6"/>
        <v>748.5551469496362</v>
      </c>
      <c r="AM29" s="562">
        <f t="shared" si="6"/>
        <v>759.67070025307726</v>
      </c>
      <c r="AN29" s="562" t="e">
        <f t="shared" si="6"/>
        <v>#DIV/0!</v>
      </c>
    </row>
    <row r="30" spans="2:41" ht="19.399999999999999" customHeight="1" x14ac:dyDescent="0.35">
      <c r="B30" s="558" t="s">
        <v>436</v>
      </c>
      <c r="C30" s="367"/>
      <c r="D30" s="589">
        <f t="shared" ref="D30:AG30" si="7">D27-D29</f>
        <v>197.57900000000001</v>
      </c>
      <c r="E30" s="561">
        <f t="shared" si="7"/>
        <v>193.33200000000005</v>
      </c>
      <c r="F30" s="561">
        <f t="shared" si="7"/>
        <v>200.20399999999995</v>
      </c>
      <c r="G30" s="561">
        <f t="shared" si="7"/>
        <v>203.71400000000006</v>
      </c>
      <c r="H30" s="561">
        <f t="shared" si="7"/>
        <v>204.41499999999996</v>
      </c>
      <c r="I30" s="561">
        <f t="shared" si="7"/>
        <v>183.61</v>
      </c>
      <c r="J30" s="561">
        <f t="shared" si="7"/>
        <v>151.69400000000002</v>
      </c>
      <c r="K30" s="561">
        <f t="shared" si="7"/>
        <v>206.31999999999994</v>
      </c>
      <c r="L30" s="561">
        <f t="shared" si="7"/>
        <v>168.71600000000001</v>
      </c>
      <c r="M30" s="561">
        <f t="shared" si="7"/>
        <v>205.471</v>
      </c>
      <c r="N30" s="561">
        <f t="shared" si="7"/>
        <v>224.81000000000006</v>
      </c>
      <c r="O30" s="561">
        <f>O27-O29</f>
        <v>203.87400000000002</v>
      </c>
      <c r="P30" s="561">
        <f>P27-P29</f>
        <v>178.68999999999994</v>
      </c>
      <c r="Q30" s="561">
        <f t="shared" si="7"/>
        <v>201.97299999999996</v>
      </c>
      <c r="R30" s="561">
        <f t="shared" si="7"/>
        <v>233.45400000000006</v>
      </c>
      <c r="S30" s="561">
        <f t="shared" si="7"/>
        <v>201.11099999999999</v>
      </c>
      <c r="T30" s="561">
        <f t="shared" si="7"/>
        <v>215.82000000000005</v>
      </c>
      <c r="U30" s="561">
        <f t="shared" si="7"/>
        <v>244.94000000000005</v>
      </c>
      <c r="V30" s="561">
        <f t="shared" si="7"/>
        <v>282.71300000000008</v>
      </c>
      <c r="W30" s="561">
        <f t="shared" si="7"/>
        <v>281.21600000000001</v>
      </c>
      <c r="X30" s="561">
        <f t="shared" si="7"/>
        <v>244.16600000000005</v>
      </c>
      <c r="Y30" s="584">
        <f t="shared" si="7"/>
        <v>286.07299999999998</v>
      </c>
      <c r="Z30" s="584">
        <f t="shared" si="7"/>
        <v>296.54300000000001</v>
      </c>
      <c r="AA30" s="584">
        <f t="shared" si="7"/>
        <v>291.16300000000001</v>
      </c>
      <c r="AB30" s="584">
        <f>AB27-AB29</f>
        <v>289.625</v>
      </c>
      <c r="AC30" s="584">
        <f t="shared" si="7"/>
        <v>310.57000000000005</v>
      </c>
      <c r="AD30" s="584">
        <f t="shared" si="7"/>
        <v>306.16997258770698</v>
      </c>
      <c r="AE30" s="584">
        <f t="shared" si="7"/>
        <v>310.25410782190534</v>
      </c>
      <c r="AF30" s="584">
        <f t="shared" si="7"/>
        <v>315.60102510576507</v>
      </c>
      <c r="AG30" s="584">
        <f t="shared" si="7"/>
        <v>322.65195425278773</v>
      </c>
      <c r="AH30" s="584">
        <f>AH27-AH29</f>
        <v>325.8321722697923</v>
      </c>
      <c r="AI30" s="584">
        <f>AI27-AI29</f>
        <v>330.78466910441466</v>
      </c>
      <c r="AJ30" s="584">
        <f>AJ27-AJ29</f>
        <v>336.02739854178378</v>
      </c>
      <c r="AK30" s="584">
        <f>AK27-AK29</f>
        <v>341.26225476947207</v>
      </c>
      <c r="AL30" s="584">
        <f>AL27-AL29</f>
        <v>346.02894191270946</v>
      </c>
      <c r="AM30" s="584">
        <f t="shared" ref="AM30:AN30" si="8">AM27-AM29</f>
        <v>351.24514692712569</v>
      </c>
      <c r="AN30" s="584" t="e">
        <f t="shared" si="8"/>
        <v>#DIV/0!</v>
      </c>
    </row>
    <row r="31" spans="2:41" ht="19.399999999999999" customHeight="1" x14ac:dyDescent="0.35">
      <c r="B31" s="245"/>
      <c r="C31" s="245"/>
      <c r="D31" s="503"/>
      <c r="E31" s="503"/>
      <c r="F31" s="503"/>
      <c r="G31" s="503"/>
      <c r="H31" s="503"/>
      <c r="I31" s="503"/>
      <c r="J31" s="503"/>
      <c r="K31" s="503"/>
      <c r="L31" s="503"/>
      <c r="M31" s="503"/>
      <c r="N31" s="503"/>
      <c r="O31" s="503"/>
      <c r="P31" s="503"/>
      <c r="Q31" s="503"/>
      <c r="R31" s="503"/>
      <c r="S31" s="503"/>
      <c r="T31" s="503"/>
      <c r="U31" s="503"/>
      <c r="V31" s="503"/>
      <c r="W31" s="503"/>
      <c r="X31" s="503"/>
    </row>
    <row r="32" spans="2:41" ht="19.399999999999999" customHeight="1" x14ac:dyDescent="0.35">
      <c r="B32" s="245"/>
      <c r="C32" s="245"/>
      <c r="D32" s="503"/>
      <c r="E32" s="503"/>
      <c r="F32" s="503"/>
      <c r="G32" s="503"/>
      <c r="H32" s="503"/>
      <c r="I32" s="503"/>
    </row>
    <row r="33" spans="2:34" ht="19.399999999999999" customHeight="1" x14ac:dyDescent="0.35">
      <c r="B33" s="245"/>
      <c r="C33" s="245"/>
      <c r="D33" s="503"/>
      <c r="E33" s="503"/>
      <c r="F33" s="503"/>
      <c r="G33" s="503"/>
      <c r="H33" s="503"/>
      <c r="I33" s="503"/>
    </row>
    <row r="34" spans="2:34" ht="19.399999999999999" customHeight="1" x14ac:dyDescent="0.35">
      <c r="B34" s="245"/>
      <c r="C34" s="245"/>
      <c r="D34" s="503"/>
      <c r="E34" s="503"/>
      <c r="F34" s="503"/>
      <c r="G34" s="503"/>
      <c r="H34" s="503"/>
      <c r="I34" s="503"/>
      <c r="J34" s="503"/>
      <c r="K34" s="503"/>
      <c r="L34" s="503"/>
      <c r="M34" s="503"/>
      <c r="N34" s="503"/>
      <c r="O34" s="503"/>
      <c r="P34" s="503"/>
      <c r="Q34" s="503"/>
      <c r="R34" s="503"/>
      <c r="S34" s="503"/>
      <c r="T34" s="503"/>
      <c r="Y34" s="503"/>
      <c r="Z34" s="503"/>
      <c r="AA34" s="503"/>
      <c r="AB34" s="503"/>
      <c r="AC34" s="503"/>
      <c r="AD34" s="503"/>
      <c r="AE34" s="503"/>
      <c r="AF34" s="503"/>
      <c r="AG34" s="503"/>
      <c r="AH34" s="503"/>
    </row>
    <row r="35" spans="2:34" ht="19.399999999999999" customHeight="1" x14ac:dyDescent="0.35">
      <c r="B35" s="245"/>
      <c r="C35" s="245"/>
      <c r="D35" s="503"/>
      <c r="E35" s="503"/>
      <c r="F35" s="503"/>
      <c r="G35" s="503"/>
      <c r="H35" s="503"/>
      <c r="I35" s="503"/>
      <c r="J35" s="503"/>
      <c r="K35" s="503"/>
      <c r="L35" s="503"/>
      <c r="M35" s="503"/>
      <c r="N35" s="503"/>
      <c r="O35" s="503"/>
      <c r="P35" s="503"/>
      <c r="Q35" s="503"/>
      <c r="R35" s="503"/>
      <c r="S35" s="503"/>
      <c r="T35" s="503"/>
      <c r="Y35" s="503"/>
      <c r="Z35" s="503"/>
      <c r="AA35" s="503"/>
      <c r="AB35" s="503"/>
      <c r="AC35" s="503"/>
      <c r="AD35" s="503"/>
      <c r="AE35" s="503"/>
      <c r="AF35" s="503"/>
      <c r="AG35" s="503"/>
      <c r="AH35" s="503"/>
    </row>
    <row r="36" spans="2:34" ht="19" customHeight="1" x14ac:dyDescent="0.35">
      <c r="B36" s="245"/>
      <c r="C36" s="245"/>
      <c r="D36" s="503"/>
      <c r="E36" s="503"/>
      <c r="F36" s="503"/>
      <c r="G36" s="503"/>
      <c r="H36" s="503"/>
      <c r="I36" s="503"/>
      <c r="J36" s="503"/>
      <c r="K36" s="503"/>
      <c r="L36" s="503"/>
      <c r="M36" s="503"/>
      <c r="N36" s="503"/>
      <c r="O36" s="503"/>
      <c r="AG36" s="503"/>
      <c r="AH36" s="503"/>
    </row>
    <row r="37" spans="2:34" ht="19" customHeight="1" x14ac:dyDescent="0.35">
      <c r="B37" s="245"/>
      <c r="C37" s="245"/>
      <c r="D37" s="503"/>
      <c r="E37" s="503"/>
      <c r="F37" s="503"/>
      <c r="G37" s="503"/>
      <c r="H37" s="503"/>
      <c r="I37" s="503"/>
      <c r="J37" s="503"/>
      <c r="K37" s="503"/>
      <c r="L37" s="503"/>
      <c r="M37" s="503"/>
      <c r="N37" s="503"/>
      <c r="O37" s="503"/>
      <c r="AG37" s="503"/>
      <c r="AH37" s="503"/>
    </row>
    <row r="38" spans="2:34" ht="19.399999999999999" customHeight="1" x14ac:dyDescent="0.35">
      <c r="B38" s="245"/>
      <c r="C38" s="245"/>
      <c r="D38" s="503"/>
      <c r="E38" s="503"/>
      <c r="F38" s="503"/>
      <c r="G38" s="503"/>
      <c r="H38" s="503"/>
      <c r="I38" s="503"/>
      <c r="J38" s="503"/>
      <c r="K38" s="503"/>
      <c r="L38" s="503"/>
      <c r="M38" s="503"/>
      <c r="N38" s="503"/>
      <c r="O38" s="503"/>
      <c r="P38" s="503"/>
      <c r="Q38" s="503"/>
      <c r="R38" s="503"/>
      <c r="S38" s="503"/>
      <c r="T38" s="503"/>
      <c r="Y38" s="503"/>
      <c r="Z38" s="503"/>
      <c r="AA38" s="503"/>
      <c r="AB38" s="503"/>
      <c r="AC38" s="503"/>
      <c r="AD38" s="503"/>
      <c r="AE38" s="503"/>
      <c r="AF38" s="503"/>
      <c r="AG38" s="503"/>
      <c r="AH38" s="503"/>
    </row>
    <row r="39" spans="2:34" ht="14.9" customHeight="1" x14ac:dyDescent="0.35">
      <c r="B39" s="579" t="s">
        <v>437</v>
      </c>
      <c r="C39" s="580"/>
      <c r="D39" s="580"/>
      <c r="E39" s="581"/>
      <c r="F39" s="582">
        <v>2021</v>
      </c>
      <c r="G39" s="582">
        <v>2022</v>
      </c>
      <c r="H39" s="582">
        <v>2023</v>
      </c>
      <c r="I39" s="582">
        <v>2024</v>
      </c>
      <c r="J39" s="582">
        <v>2025</v>
      </c>
      <c r="K39" s="582">
        <v>2025</v>
      </c>
      <c r="L39" s="582">
        <v>2027</v>
      </c>
      <c r="M39" s="582">
        <v>2028</v>
      </c>
      <c r="N39" s="582">
        <v>2029</v>
      </c>
      <c r="O39" s="582">
        <v>2030</v>
      </c>
      <c r="P39" s="583">
        <v>2031</v>
      </c>
    </row>
    <row r="40" spans="2:34" ht="15" customHeight="1" x14ac:dyDescent="0.35">
      <c r="B40" s="1279" t="s">
        <v>438</v>
      </c>
      <c r="C40" s="1280"/>
      <c r="D40" s="1280"/>
      <c r="E40" s="1281"/>
      <c r="F40" s="229">
        <v>287</v>
      </c>
      <c r="G40" s="229">
        <v>534</v>
      </c>
      <c r="H40" s="229">
        <v>247</v>
      </c>
      <c r="I40" s="229">
        <v>63</v>
      </c>
      <c r="J40" s="229"/>
      <c r="K40" s="229"/>
      <c r="L40" s="229"/>
      <c r="M40" s="229"/>
      <c r="N40" s="229"/>
      <c r="O40" s="229"/>
      <c r="P40" s="1240"/>
    </row>
    <row r="41" spans="2:34" ht="15" customHeight="1" x14ac:dyDescent="0.35">
      <c r="B41" s="1267" t="s">
        <v>439</v>
      </c>
      <c r="C41" s="1268"/>
      <c r="D41" s="1268"/>
      <c r="E41" s="1269"/>
      <c r="F41" s="229">
        <v>0</v>
      </c>
      <c r="G41" s="229">
        <v>0</v>
      </c>
      <c r="H41" s="229">
        <v>756</v>
      </c>
      <c r="I41" s="229">
        <v>1249</v>
      </c>
      <c r="J41" s="229">
        <v>1417</v>
      </c>
      <c r="K41" s="229">
        <v>1522</v>
      </c>
      <c r="L41" s="229">
        <v>1107</v>
      </c>
      <c r="M41" s="229"/>
      <c r="N41" s="229"/>
      <c r="O41" s="229"/>
      <c r="P41" s="1240"/>
    </row>
    <row r="42" spans="2:34" x14ac:dyDescent="0.35">
      <c r="B42" s="1267" t="s">
        <v>440</v>
      </c>
      <c r="C42" s="1268"/>
      <c r="D42" s="1268"/>
      <c r="E42" s="1269"/>
      <c r="F42" s="229">
        <v>0</v>
      </c>
      <c r="G42" s="229">
        <v>5</v>
      </c>
      <c r="H42" s="229">
        <v>77</v>
      </c>
      <c r="I42" s="229">
        <v>307</v>
      </c>
      <c r="J42" s="229">
        <v>332</v>
      </c>
      <c r="K42" s="229">
        <v>270</v>
      </c>
      <c r="L42" s="229">
        <v>25</v>
      </c>
      <c r="M42" s="229">
        <v>32</v>
      </c>
      <c r="N42" s="229">
        <v>40</v>
      </c>
      <c r="O42" s="229">
        <v>49</v>
      </c>
      <c r="P42" s="1240">
        <v>58</v>
      </c>
    </row>
    <row r="43" spans="2:34" ht="32.9" customHeight="1" x14ac:dyDescent="0.35">
      <c r="B43" s="1291" t="s">
        <v>441</v>
      </c>
      <c r="C43" s="1292"/>
      <c r="D43" s="1292"/>
      <c r="E43" s="1293"/>
      <c r="F43" s="229">
        <v>0</v>
      </c>
      <c r="G43" s="229">
        <v>0</v>
      </c>
      <c r="H43" s="229">
        <v>3768</v>
      </c>
      <c r="I43" s="229">
        <v>3428</v>
      </c>
      <c r="J43" s="229">
        <v>2176</v>
      </c>
      <c r="K43" s="229">
        <v>2304</v>
      </c>
      <c r="L43" s="229">
        <v>2129</v>
      </c>
      <c r="M43" s="229">
        <v>1335</v>
      </c>
      <c r="N43" s="229">
        <v>478</v>
      </c>
      <c r="O43" s="229">
        <v>531</v>
      </c>
      <c r="P43" s="1240">
        <v>212</v>
      </c>
    </row>
    <row r="44" spans="2:34" ht="32.9" customHeight="1" x14ac:dyDescent="0.35">
      <c r="B44" s="1291" t="s">
        <v>442</v>
      </c>
      <c r="C44" s="1292"/>
      <c r="D44" s="1292"/>
      <c r="E44" s="1293"/>
      <c r="F44" s="229">
        <v>38</v>
      </c>
      <c r="G44" s="229">
        <v>81</v>
      </c>
      <c r="H44" s="229">
        <v>43</v>
      </c>
      <c r="I44" s="229"/>
      <c r="J44" s="229"/>
      <c r="K44" s="229"/>
      <c r="L44" s="229"/>
      <c r="M44" s="229"/>
      <c r="N44" s="229"/>
      <c r="O44" s="229"/>
      <c r="P44" s="1240"/>
    </row>
    <row r="45" spans="2:34" x14ac:dyDescent="0.35">
      <c r="B45" s="1267" t="s">
        <v>443</v>
      </c>
      <c r="C45" s="1268"/>
      <c r="D45" s="1268"/>
      <c r="E45" s="1269"/>
      <c r="F45" s="229"/>
      <c r="G45" s="229"/>
      <c r="H45" s="229"/>
      <c r="I45" s="229">
        <v>-184</v>
      </c>
      <c r="J45" s="229">
        <v>-1830</v>
      </c>
      <c r="K45" s="229">
        <v>-2406</v>
      </c>
      <c r="L45" s="229">
        <v>-2419</v>
      </c>
      <c r="M45" s="229">
        <v>-2467</v>
      </c>
      <c r="N45" s="229">
        <v>-2531</v>
      </c>
      <c r="O45" s="229">
        <v>-2667</v>
      </c>
      <c r="P45" s="1240">
        <v>-2809</v>
      </c>
    </row>
    <row r="46" spans="2:34" ht="15.75" customHeight="1" x14ac:dyDescent="0.35">
      <c r="B46" s="1285" t="s">
        <v>444</v>
      </c>
      <c r="C46" s="1286"/>
      <c r="D46" s="1286"/>
      <c r="E46" s="1287"/>
      <c r="F46" s="229">
        <v>6524</v>
      </c>
      <c r="G46" s="229">
        <v>6143</v>
      </c>
      <c r="H46" s="229"/>
      <c r="I46" s="229"/>
      <c r="J46" s="229"/>
      <c r="K46" s="229"/>
      <c r="L46" s="229"/>
      <c r="M46" s="229"/>
      <c r="N46" s="229"/>
      <c r="O46" s="229"/>
      <c r="P46" s="1240"/>
    </row>
    <row r="47" spans="2:34" x14ac:dyDescent="0.35">
      <c r="B47" s="1267" t="s">
        <v>445</v>
      </c>
      <c r="C47" s="1268"/>
      <c r="D47" s="1268"/>
      <c r="E47" s="1269"/>
      <c r="F47" s="229">
        <v>50</v>
      </c>
      <c r="G47" s="229">
        <v>175</v>
      </c>
      <c r="H47" s="229">
        <v>25</v>
      </c>
      <c r="I47" s="229"/>
      <c r="J47" s="229"/>
      <c r="K47" s="229"/>
      <c r="L47" s="229"/>
      <c r="M47" s="229"/>
      <c r="N47" s="229"/>
      <c r="O47" s="229"/>
      <c r="P47" s="1240"/>
    </row>
    <row r="48" spans="2:34" x14ac:dyDescent="0.35">
      <c r="B48" s="1267" t="s">
        <v>446</v>
      </c>
      <c r="C48" s="1268"/>
      <c r="D48" s="1268"/>
      <c r="E48" s="1269"/>
      <c r="F48" s="229">
        <v>829</v>
      </c>
      <c r="G48" s="229">
        <v>844</v>
      </c>
      <c r="H48" s="229"/>
      <c r="I48" s="229"/>
      <c r="J48" s="229"/>
      <c r="K48" s="229"/>
      <c r="L48" s="229"/>
      <c r="M48" s="229"/>
      <c r="N48" s="229"/>
      <c r="O48" s="229"/>
      <c r="P48" s="1240"/>
    </row>
    <row r="49" spans="2:17" x14ac:dyDescent="0.35">
      <c r="B49" s="1282" t="s">
        <v>447</v>
      </c>
      <c r="C49" s="1283"/>
      <c r="D49" s="1283"/>
      <c r="E49" s="1284"/>
      <c r="F49" s="229">
        <f t="shared" ref="F49:P49" si="9">SUM(F40:F48)</f>
        <v>7728</v>
      </c>
      <c r="G49" s="229">
        <f t="shared" si="9"/>
        <v>7782</v>
      </c>
      <c r="H49" s="229">
        <f t="shared" si="9"/>
        <v>4916</v>
      </c>
      <c r="I49" s="229">
        <f t="shared" si="9"/>
        <v>4863</v>
      </c>
      <c r="J49" s="229">
        <f t="shared" si="9"/>
        <v>2095</v>
      </c>
      <c r="K49" s="229">
        <f t="shared" si="9"/>
        <v>1690</v>
      </c>
      <c r="L49" s="229">
        <f t="shared" si="9"/>
        <v>842</v>
      </c>
      <c r="M49" s="229">
        <f t="shared" si="9"/>
        <v>-1100</v>
      </c>
      <c r="N49" s="229">
        <f t="shared" si="9"/>
        <v>-2013</v>
      </c>
      <c r="O49" s="229">
        <f t="shared" si="9"/>
        <v>-2087</v>
      </c>
      <c r="P49" s="1240">
        <f t="shared" si="9"/>
        <v>-2539</v>
      </c>
    </row>
    <row r="50" spans="2:17" x14ac:dyDescent="0.35">
      <c r="B50" s="1285" t="s">
        <v>448</v>
      </c>
      <c r="C50" s="1286"/>
      <c r="D50" s="1286"/>
      <c r="E50" s="1287"/>
      <c r="F50" s="229">
        <f t="shared" ref="F50:P50" si="10">F46+F44+F43</f>
        <v>6562</v>
      </c>
      <c r="G50" s="229">
        <f t="shared" si="10"/>
        <v>6224</v>
      </c>
      <c r="H50" s="229">
        <f t="shared" si="10"/>
        <v>3811</v>
      </c>
      <c r="I50" s="229">
        <f t="shared" si="10"/>
        <v>3428</v>
      </c>
      <c r="J50" s="229">
        <f t="shared" si="10"/>
        <v>2176</v>
      </c>
      <c r="K50" s="229">
        <f t="shared" si="10"/>
        <v>2304</v>
      </c>
      <c r="L50" s="229">
        <f t="shared" si="10"/>
        <v>2129</v>
      </c>
      <c r="M50" s="229">
        <f t="shared" si="10"/>
        <v>1335</v>
      </c>
      <c r="N50" s="229">
        <f t="shared" si="10"/>
        <v>478</v>
      </c>
      <c r="O50" s="229">
        <f t="shared" si="10"/>
        <v>531</v>
      </c>
      <c r="P50" s="1240">
        <f t="shared" si="10"/>
        <v>212</v>
      </c>
      <c r="Q50" s="245" t="s">
        <v>449</v>
      </c>
    </row>
    <row r="51" spans="2:17" x14ac:dyDescent="0.35">
      <c r="B51" s="1267" t="s">
        <v>450</v>
      </c>
      <c r="C51" s="1268"/>
      <c r="D51" s="1268"/>
      <c r="E51" s="1269"/>
      <c r="F51" s="229">
        <f>(F50/1000)/M27</f>
        <v>9.3091218612569165E-3</v>
      </c>
      <c r="G51" s="229">
        <f>(G50/F50)*F51</f>
        <v>8.8296212228684921E-3</v>
      </c>
      <c r="H51" s="229">
        <f>(H50/G50)*G51+H52</f>
        <v>5.4064406298765782E-3</v>
      </c>
      <c r="I51" s="229">
        <f>(I50/H50)*H51+I52</f>
        <v>4.8631011490991626E-3</v>
      </c>
      <c r="J51" s="229">
        <f>J52</f>
        <v>0</v>
      </c>
      <c r="K51" s="229">
        <f t="shared" ref="K51:L51" si="11">K52</f>
        <v>0</v>
      </c>
      <c r="L51" s="229">
        <f t="shared" si="11"/>
        <v>0</v>
      </c>
      <c r="M51" s="229"/>
      <c r="N51" s="229"/>
      <c r="O51" s="229"/>
      <c r="P51" s="1240"/>
      <c r="Q51" s="245" t="s">
        <v>451</v>
      </c>
    </row>
    <row r="52" spans="2:17" ht="29.25" customHeight="1" x14ac:dyDescent="0.35">
      <c r="B52" s="551" t="s">
        <v>889</v>
      </c>
      <c r="C52" s="552"/>
      <c r="D52" s="552"/>
      <c r="E52" s="1236"/>
      <c r="F52" s="229"/>
      <c r="G52" s="229"/>
      <c r="H52" s="229"/>
      <c r="I52" s="229"/>
      <c r="J52" s="229"/>
      <c r="K52" s="229"/>
      <c r="L52" s="229"/>
      <c r="M52" s="229"/>
      <c r="N52" s="229"/>
      <c r="O52" s="229"/>
      <c r="P52" s="1240"/>
      <c r="Q52" s="245"/>
    </row>
    <row r="53" spans="2:17" x14ac:dyDescent="0.35">
      <c r="B53" s="1288"/>
      <c r="C53" s="1289"/>
      <c r="D53" s="1289"/>
      <c r="E53" s="1290"/>
      <c r="F53" s="554"/>
      <c r="G53" s="554"/>
      <c r="H53" s="554"/>
      <c r="I53" s="554"/>
      <c r="J53" s="554"/>
      <c r="K53" s="554"/>
      <c r="L53" s="554"/>
      <c r="M53" s="554"/>
      <c r="N53" s="554"/>
      <c r="O53" s="554"/>
      <c r="P53" s="570"/>
    </row>
  </sheetData>
  <mergeCells count="36">
    <mergeCell ref="B49:E49"/>
    <mergeCell ref="B50:E50"/>
    <mergeCell ref="B51:E51"/>
    <mergeCell ref="B53:E53"/>
    <mergeCell ref="B43:E43"/>
    <mergeCell ref="B44:E44"/>
    <mergeCell ref="B45:E45"/>
    <mergeCell ref="B46:E46"/>
    <mergeCell ref="B47:E47"/>
    <mergeCell ref="B48:E48"/>
    <mergeCell ref="B42:E42"/>
    <mergeCell ref="AC8:AF8"/>
    <mergeCell ref="AG8:AJ8"/>
    <mergeCell ref="AK8:AN8"/>
    <mergeCell ref="B24:C26"/>
    <mergeCell ref="D24:AB24"/>
    <mergeCell ref="AC24:AN24"/>
    <mergeCell ref="E25:H25"/>
    <mergeCell ref="I25:L25"/>
    <mergeCell ref="M25:P25"/>
    <mergeCell ref="Q25:T25"/>
    <mergeCell ref="AC25:AF25"/>
    <mergeCell ref="AG25:AJ25"/>
    <mergeCell ref="AK25:AN25"/>
    <mergeCell ref="B40:E40"/>
    <mergeCell ref="B41:E41"/>
    <mergeCell ref="B1:AC1"/>
    <mergeCell ref="B2:U4"/>
    <mergeCell ref="V2:AB4"/>
    <mergeCell ref="B7:C9"/>
    <mergeCell ref="D7:AB7"/>
    <mergeCell ref="AC7:AN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D39" sqref="D39"/>
    </sheetView>
  </sheetViews>
  <sheetFormatPr defaultColWidth="10.90625" defaultRowHeight="14.5" x14ac:dyDescent="0.35"/>
  <cols>
    <col min="2" max="2" width="34.1796875" customWidth="1"/>
    <col min="17" max="17" width="38.453125" customWidth="1"/>
  </cols>
  <sheetData>
    <row r="10" spans="2:17" x14ac:dyDescent="0.35">
      <c r="B10" s="1297" t="s">
        <v>0</v>
      </c>
      <c r="C10" s="1298"/>
      <c r="D10" s="1298"/>
      <c r="E10" s="1298"/>
      <c r="F10" s="1298"/>
      <c r="G10" s="1298"/>
      <c r="H10" s="1298"/>
      <c r="I10" s="1298"/>
      <c r="J10" s="1298"/>
      <c r="K10" s="1298"/>
      <c r="L10" s="1298"/>
      <c r="M10" s="1298"/>
      <c r="N10" s="1298"/>
      <c r="O10" s="1298"/>
      <c r="P10" s="1298"/>
      <c r="Q10" s="1299"/>
    </row>
    <row r="11" spans="2:17" x14ac:dyDescent="0.35">
      <c r="B11" s="1300"/>
      <c r="C11" s="1301"/>
      <c r="D11" s="1301"/>
      <c r="E11" s="1301"/>
      <c r="F11" s="1301"/>
      <c r="G11" s="1301"/>
      <c r="H11" s="1301"/>
      <c r="I11" s="1301"/>
      <c r="J11" s="1301"/>
      <c r="K11" s="1301"/>
      <c r="L11" s="1301"/>
      <c r="M11" s="1301"/>
      <c r="N11" s="1301"/>
      <c r="O11" s="1301"/>
      <c r="P11" s="1301"/>
      <c r="Q11" s="1302"/>
    </row>
    <row r="12" spans="2:17" x14ac:dyDescent="0.35">
      <c r="B12" s="12" t="s">
        <v>1</v>
      </c>
      <c r="C12" s="9"/>
      <c r="D12" s="9"/>
      <c r="E12" s="9"/>
      <c r="F12" s="9"/>
      <c r="G12" s="9"/>
      <c r="H12" s="9"/>
      <c r="I12" s="9"/>
      <c r="J12" s="9"/>
      <c r="K12" s="9"/>
      <c r="L12" s="9"/>
      <c r="M12" s="9"/>
      <c r="N12" s="9"/>
      <c r="O12" s="9"/>
      <c r="P12" s="9"/>
      <c r="Q12" s="8"/>
    </row>
    <row r="13" spans="2:17" x14ac:dyDescent="0.35">
      <c r="B13" s="11" t="s">
        <v>2</v>
      </c>
      <c r="C13" s="1303" t="s">
        <v>3</v>
      </c>
      <c r="D13" s="1303"/>
      <c r="E13" s="1303"/>
      <c r="F13" s="1303"/>
      <c r="G13" s="1303"/>
      <c r="H13" s="1303"/>
      <c r="I13" s="1303"/>
      <c r="J13" s="1303"/>
      <c r="K13" s="1303"/>
      <c r="L13" s="1303"/>
      <c r="M13" s="1303"/>
      <c r="N13" s="1303"/>
      <c r="O13" s="1303"/>
      <c r="P13" s="1303"/>
      <c r="Q13" s="1304"/>
    </row>
    <row r="14" spans="2:17" x14ac:dyDescent="0.35">
      <c r="B14" s="11" t="s">
        <v>4</v>
      </c>
      <c r="C14" s="4" t="s">
        <v>5</v>
      </c>
      <c r="D14" s="4"/>
      <c r="E14" s="4"/>
      <c r="F14" s="4"/>
      <c r="G14" s="4"/>
      <c r="H14" s="4"/>
      <c r="I14" s="4"/>
      <c r="J14" s="4"/>
      <c r="K14" s="4"/>
      <c r="L14" s="4"/>
      <c r="M14" s="4"/>
      <c r="N14" s="4"/>
      <c r="O14" s="4"/>
      <c r="P14" s="4"/>
      <c r="Q14" s="5"/>
    </row>
    <row r="15" spans="2:17" x14ac:dyDescent="0.35">
      <c r="B15" s="11" t="s">
        <v>6</v>
      </c>
      <c r="C15" s="4" t="s">
        <v>7</v>
      </c>
      <c r="D15" s="4"/>
      <c r="E15" s="4"/>
      <c r="F15" s="4"/>
      <c r="G15" s="4"/>
      <c r="H15" s="4"/>
      <c r="I15" s="4"/>
      <c r="J15" s="4"/>
      <c r="K15" s="4"/>
      <c r="L15" s="4"/>
      <c r="M15" s="4"/>
      <c r="N15" s="4"/>
      <c r="O15" s="4"/>
      <c r="P15" s="4"/>
      <c r="Q15" s="5"/>
    </row>
    <row r="16" spans="2:17" x14ac:dyDescent="0.35">
      <c r="B16" s="11" t="s">
        <v>8</v>
      </c>
      <c r="C16" s="4" t="s">
        <v>829</v>
      </c>
      <c r="D16" s="4"/>
      <c r="E16" s="4"/>
      <c r="F16" s="4"/>
      <c r="G16" s="4"/>
      <c r="H16" s="4"/>
      <c r="I16" s="4"/>
      <c r="J16" s="4"/>
      <c r="K16" s="4"/>
      <c r="L16" s="4"/>
      <c r="M16" s="4"/>
      <c r="N16" s="4"/>
      <c r="O16" s="4"/>
      <c r="P16" s="4"/>
      <c r="Q16" s="5"/>
    </row>
    <row r="17" spans="2:17" x14ac:dyDescent="0.35">
      <c r="B17" s="11" t="s">
        <v>9</v>
      </c>
      <c r="C17" s="4" t="s">
        <v>10</v>
      </c>
      <c r="D17" s="4"/>
      <c r="E17" s="4"/>
      <c r="F17" s="4"/>
      <c r="G17" s="4"/>
      <c r="H17" s="4"/>
      <c r="I17" s="4"/>
      <c r="J17" s="4"/>
      <c r="K17" s="4"/>
      <c r="L17" s="4"/>
      <c r="M17" s="4"/>
      <c r="N17" s="4"/>
      <c r="O17" s="4"/>
      <c r="P17" s="4"/>
      <c r="Q17" s="5"/>
    </row>
    <row r="18" spans="2:17" x14ac:dyDescent="0.35">
      <c r="B18" s="11" t="s">
        <v>830</v>
      </c>
      <c r="C18" s="4" t="s">
        <v>11</v>
      </c>
      <c r="D18" s="4"/>
      <c r="E18" s="4"/>
      <c r="F18" s="4"/>
      <c r="G18" s="4"/>
      <c r="H18" s="4"/>
      <c r="I18" s="4"/>
      <c r="J18" s="4"/>
      <c r="K18" s="4"/>
      <c r="L18" s="4"/>
      <c r="M18" s="4"/>
      <c r="N18" s="4"/>
      <c r="O18" s="4"/>
      <c r="P18" s="4"/>
      <c r="Q18" s="5"/>
    </row>
    <row r="19" spans="2:17" x14ac:dyDescent="0.35">
      <c r="B19" s="11" t="s">
        <v>12</v>
      </c>
      <c r="C19" s="4" t="s">
        <v>831</v>
      </c>
      <c r="D19" s="4"/>
      <c r="E19" s="4"/>
      <c r="F19" s="4"/>
      <c r="G19" s="4"/>
      <c r="H19" s="4"/>
      <c r="I19" s="4"/>
      <c r="J19" s="4"/>
      <c r="K19" s="4"/>
      <c r="L19" s="4"/>
      <c r="M19" s="4"/>
      <c r="N19" s="4"/>
      <c r="O19" s="4"/>
      <c r="P19" s="4"/>
      <c r="Q19" s="5"/>
    </row>
    <row r="20" spans="2:17" ht="30.75" customHeight="1" x14ac:dyDescent="0.35">
      <c r="B20" s="11" t="s">
        <v>13</v>
      </c>
      <c r="C20" s="1295" t="s">
        <v>14</v>
      </c>
      <c r="D20" s="1295"/>
      <c r="E20" s="1295"/>
      <c r="F20" s="1295"/>
      <c r="G20" s="1295"/>
      <c r="H20" s="1295"/>
      <c r="I20" s="1295"/>
      <c r="J20" s="1295"/>
      <c r="K20" s="1295"/>
      <c r="L20" s="1295"/>
      <c r="M20" s="1295"/>
      <c r="N20" s="1295"/>
      <c r="O20" s="1295"/>
      <c r="P20" s="1295"/>
      <c r="Q20" s="1296"/>
    </row>
    <row r="21" spans="2:17" x14ac:dyDescent="0.35">
      <c r="B21" s="11" t="s">
        <v>15</v>
      </c>
      <c r="C21" s="4" t="s">
        <v>16</v>
      </c>
      <c r="D21" s="4"/>
      <c r="E21" s="4"/>
      <c r="F21" s="4"/>
      <c r="G21" s="4"/>
      <c r="H21" s="4"/>
      <c r="I21" s="4"/>
      <c r="J21" s="4"/>
      <c r="K21" s="4"/>
      <c r="L21" s="4"/>
      <c r="M21" s="4"/>
      <c r="N21" s="4"/>
      <c r="O21" s="4"/>
      <c r="P21" s="4"/>
      <c r="Q21" s="5"/>
    </row>
    <row r="22" spans="2:17" ht="32.25" customHeight="1" x14ac:dyDescent="0.35">
      <c r="B22" s="1" t="s">
        <v>833</v>
      </c>
      <c r="C22" s="1295" t="s">
        <v>832</v>
      </c>
      <c r="D22" s="1295"/>
      <c r="E22" s="1295"/>
      <c r="F22" s="1295"/>
      <c r="G22" s="1295"/>
      <c r="H22" s="1295"/>
      <c r="I22" s="1295"/>
      <c r="J22" s="1295"/>
      <c r="K22" s="1295"/>
      <c r="L22" s="1295"/>
      <c r="M22" s="1295"/>
      <c r="N22" s="1295"/>
      <c r="O22" s="1295"/>
      <c r="P22" s="1295"/>
      <c r="Q22" s="1296"/>
    </row>
    <row r="23" spans="2:17" ht="31.4" customHeight="1" x14ac:dyDescent="0.35">
      <c r="B23" s="11" t="s">
        <v>17</v>
      </c>
      <c r="C23" s="1295" t="s">
        <v>834</v>
      </c>
      <c r="D23" s="1295"/>
      <c r="E23" s="1295"/>
      <c r="F23" s="1295"/>
      <c r="G23" s="1295"/>
      <c r="H23" s="1295"/>
      <c r="I23" s="1295"/>
      <c r="J23" s="1295"/>
      <c r="K23" s="1295"/>
      <c r="L23" s="1295"/>
      <c r="M23" s="1295"/>
      <c r="N23" s="1295"/>
      <c r="O23" s="1295"/>
      <c r="P23" s="1295"/>
      <c r="Q23" s="1296"/>
    </row>
    <row r="24" spans="2:17" x14ac:dyDescent="0.35">
      <c r="B24" s="11" t="s">
        <v>18</v>
      </c>
      <c r="C24" s="4" t="s">
        <v>19</v>
      </c>
      <c r="D24" s="4"/>
      <c r="E24" s="4"/>
      <c r="F24" s="4"/>
      <c r="G24" s="4"/>
      <c r="H24" s="4"/>
      <c r="I24" s="4"/>
      <c r="J24" s="4"/>
      <c r="K24" s="4"/>
      <c r="L24" s="4"/>
      <c r="M24" s="4"/>
      <c r="N24" s="4"/>
      <c r="O24" s="4"/>
      <c r="P24" s="4"/>
      <c r="Q24" s="5"/>
    </row>
    <row r="25" spans="2:17" x14ac:dyDescent="0.35">
      <c r="B25" s="11" t="s">
        <v>20</v>
      </c>
      <c r="C25" s="4" t="s">
        <v>21</v>
      </c>
      <c r="D25" s="4"/>
      <c r="E25" s="4"/>
      <c r="F25" s="4"/>
      <c r="G25" s="4"/>
      <c r="H25" s="4"/>
      <c r="I25" s="4"/>
      <c r="J25" s="4"/>
      <c r="K25" s="4"/>
      <c r="L25" s="4"/>
      <c r="M25" s="4"/>
      <c r="N25" s="4"/>
      <c r="O25" s="4"/>
      <c r="P25" s="4"/>
      <c r="Q25" s="5"/>
    </row>
    <row r="26" spans="2:17" x14ac:dyDescent="0.35">
      <c r="B26" s="11" t="s">
        <v>22</v>
      </c>
      <c r="C26" s="4" t="s">
        <v>23</v>
      </c>
      <c r="D26" s="4"/>
      <c r="E26" s="4"/>
      <c r="F26" s="4"/>
      <c r="G26" s="4"/>
      <c r="H26" s="4"/>
      <c r="I26" s="4"/>
      <c r="J26" s="4"/>
      <c r="K26" s="4"/>
      <c r="L26" s="4"/>
      <c r="M26" s="4"/>
      <c r="N26" s="4"/>
      <c r="O26" s="4"/>
      <c r="P26" s="4"/>
      <c r="Q26" s="5"/>
    </row>
    <row r="27" spans="2:17" x14ac:dyDescent="0.35">
      <c r="B27" s="11" t="s">
        <v>24</v>
      </c>
      <c r="C27" s="4" t="s">
        <v>835</v>
      </c>
      <c r="D27" s="4"/>
      <c r="E27" s="4"/>
      <c r="F27" s="4"/>
      <c r="G27" s="4"/>
      <c r="H27" s="4"/>
      <c r="I27" s="4"/>
      <c r="J27" s="4"/>
      <c r="K27" s="4"/>
      <c r="L27" s="4"/>
      <c r="M27" s="4"/>
      <c r="N27" s="4"/>
      <c r="O27" s="4"/>
      <c r="P27" s="4"/>
      <c r="Q27" s="5"/>
    </row>
    <row r="28" spans="2:17" x14ac:dyDescent="0.35">
      <c r="B28" s="11" t="s">
        <v>25</v>
      </c>
      <c r="C28" s="4" t="s">
        <v>836</v>
      </c>
      <c r="D28" s="4"/>
      <c r="E28" s="4"/>
      <c r="F28" s="4"/>
      <c r="G28" s="4"/>
      <c r="H28" s="4"/>
      <c r="I28" s="4"/>
      <c r="J28" s="4"/>
      <c r="K28" s="4"/>
      <c r="L28" s="4"/>
      <c r="M28" s="4"/>
      <c r="N28" s="4"/>
      <c r="O28" s="4"/>
      <c r="P28" s="4"/>
      <c r="Q28" s="5"/>
    </row>
    <row r="29" spans="2:17" x14ac:dyDescent="0.35">
      <c r="B29" s="11" t="s">
        <v>26</v>
      </c>
      <c r="C29" s="4" t="s">
        <v>27</v>
      </c>
      <c r="D29" s="4"/>
      <c r="E29" s="4"/>
      <c r="F29" s="4"/>
      <c r="G29" s="4"/>
      <c r="H29" s="4"/>
      <c r="I29" s="4"/>
      <c r="J29" s="4"/>
      <c r="K29" s="4"/>
      <c r="L29" s="4"/>
      <c r="M29" s="4"/>
      <c r="N29" s="4"/>
      <c r="O29" s="4"/>
      <c r="P29" s="4"/>
      <c r="Q29" s="5"/>
    </row>
    <row r="30" spans="2:17" x14ac:dyDescent="0.35">
      <c r="B30" s="11"/>
      <c r="C30" s="4"/>
      <c r="D30" s="4"/>
      <c r="E30" s="4"/>
      <c r="F30" s="4"/>
      <c r="G30" s="4"/>
      <c r="H30" s="4"/>
      <c r="I30" s="4"/>
      <c r="J30" s="4"/>
      <c r="K30" s="4"/>
      <c r="L30" s="4"/>
      <c r="M30" s="4"/>
      <c r="N30" s="4"/>
      <c r="O30" s="4"/>
      <c r="P30" s="4"/>
      <c r="Q30" s="5"/>
    </row>
    <row r="31" spans="2:17" x14ac:dyDescent="0.35">
      <c r="B31" s="13" t="s">
        <v>28</v>
      </c>
      <c r="C31" s="4"/>
      <c r="D31" s="4"/>
      <c r="E31" s="4"/>
      <c r="F31" s="4"/>
      <c r="G31" s="4"/>
      <c r="H31" s="4"/>
      <c r="I31" s="4"/>
      <c r="J31" s="4"/>
      <c r="K31" s="4"/>
      <c r="L31" s="4"/>
      <c r="M31" s="4"/>
      <c r="N31" s="4"/>
      <c r="O31" s="4"/>
      <c r="P31" s="4"/>
      <c r="Q31" s="5"/>
    </row>
    <row r="32" spans="2:17" x14ac:dyDescent="0.35">
      <c r="B32" s="11" t="s">
        <v>29</v>
      </c>
      <c r="C32" s="4"/>
      <c r="D32" s="4"/>
      <c r="E32" s="4"/>
      <c r="F32" s="4"/>
      <c r="G32" s="4"/>
      <c r="H32" s="4"/>
      <c r="I32" s="4"/>
      <c r="J32" s="4"/>
      <c r="K32" s="4"/>
      <c r="L32" s="4"/>
      <c r="M32" s="4"/>
      <c r="N32" s="4"/>
      <c r="O32" s="4"/>
      <c r="P32" s="4"/>
      <c r="Q32" s="5"/>
    </row>
    <row r="33" spans="2:17" ht="30.75" customHeight="1" x14ac:dyDescent="0.35">
      <c r="B33" s="1294" t="s">
        <v>837</v>
      </c>
      <c r="C33" s="1295"/>
      <c r="D33" s="1295"/>
      <c r="E33" s="1295"/>
      <c r="F33" s="1295"/>
      <c r="G33" s="1295"/>
      <c r="H33" s="1295"/>
      <c r="I33" s="1295"/>
      <c r="J33" s="1295"/>
      <c r="K33" s="1295"/>
      <c r="L33" s="1295"/>
      <c r="M33" s="1295"/>
      <c r="N33" s="1295"/>
      <c r="O33" s="1295"/>
      <c r="P33" s="1295"/>
      <c r="Q33" s="1296"/>
    </row>
    <row r="34" spans="2:17" x14ac:dyDescent="0.35">
      <c r="B34" s="7" t="s">
        <v>30</v>
      </c>
      <c r="C34" s="4"/>
      <c r="D34" s="4"/>
      <c r="E34" s="4"/>
      <c r="F34" s="4"/>
      <c r="G34" s="4"/>
      <c r="H34" s="4"/>
      <c r="I34" s="4"/>
      <c r="J34" s="4"/>
      <c r="K34" s="4"/>
      <c r="L34" s="4"/>
      <c r="M34" s="4"/>
      <c r="N34" s="4"/>
      <c r="O34" s="4"/>
      <c r="P34" s="4"/>
      <c r="Q34" s="5"/>
    </row>
    <row r="35" spans="2:17" x14ac:dyDescent="0.35">
      <c r="B35" s="11" t="s">
        <v>31</v>
      </c>
      <c r="C35" s="4"/>
      <c r="D35" s="4"/>
      <c r="E35" s="4"/>
      <c r="F35" s="4"/>
      <c r="G35" s="4"/>
      <c r="H35" s="4"/>
      <c r="I35" s="4"/>
      <c r="J35" s="4"/>
      <c r="K35" s="4"/>
      <c r="L35" s="4"/>
      <c r="M35" s="4"/>
      <c r="N35" s="4"/>
      <c r="O35" s="4"/>
      <c r="P35" s="4"/>
      <c r="Q35" s="5"/>
    </row>
    <row r="36" spans="2:17" x14ac:dyDescent="0.35">
      <c r="B36" s="10" t="s">
        <v>32</v>
      </c>
      <c r="C36" s="3"/>
      <c r="D36" s="3"/>
      <c r="E36" s="3"/>
      <c r="F36" s="3"/>
      <c r="G36" s="3"/>
      <c r="H36" s="3"/>
      <c r="I36" s="3"/>
      <c r="J36" s="3"/>
      <c r="K36" s="3"/>
      <c r="L36" s="3"/>
      <c r="M36" s="3"/>
      <c r="N36" s="3"/>
      <c r="O36" s="3"/>
      <c r="P36" s="3"/>
      <c r="Q36" s="6"/>
    </row>
    <row r="39" spans="2:17" x14ac:dyDescent="0.35">
      <c r="B39" s="2"/>
      <c r="C39" s="2"/>
      <c r="D39" s="2"/>
      <c r="E39" s="2"/>
      <c r="F39" s="2"/>
      <c r="G39" s="2"/>
      <c r="H39" s="2"/>
      <c r="I39" s="2"/>
      <c r="J39" s="2"/>
      <c r="K39" s="2"/>
      <c r="L39" s="2"/>
      <c r="M39" s="2"/>
      <c r="N39" s="2"/>
      <c r="O39" s="2"/>
      <c r="P39" s="2"/>
      <c r="Q39" s="2"/>
    </row>
    <row r="40" spans="2:17" x14ac:dyDescent="0.35">
      <c r="B40" s="2"/>
      <c r="C40" s="2"/>
      <c r="D40" s="2"/>
      <c r="E40" s="2"/>
      <c r="F40" s="2"/>
      <c r="G40" s="2"/>
      <c r="H40" s="2"/>
      <c r="I40" s="2"/>
      <c r="J40" s="2"/>
      <c r="K40" s="2"/>
      <c r="L40" s="2"/>
      <c r="M40" s="2"/>
      <c r="N40" s="2"/>
      <c r="O40" s="2"/>
      <c r="P40" s="2"/>
      <c r="Q40" s="2"/>
    </row>
    <row r="41" spans="2:17" x14ac:dyDescent="0.35">
      <c r="B41" s="2"/>
      <c r="C41" s="2"/>
      <c r="D41" s="2"/>
      <c r="E41" s="2"/>
      <c r="F41" s="2"/>
      <c r="G41" s="2"/>
      <c r="H41" s="2"/>
      <c r="I41" s="2"/>
      <c r="J41" s="2"/>
      <c r="K41" s="2"/>
      <c r="L41" s="2"/>
      <c r="M41" s="2"/>
      <c r="N41" s="2"/>
      <c r="O41" s="2"/>
      <c r="P41" s="2"/>
      <c r="Q41" s="2"/>
    </row>
    <row r="42" spans="2:17" x14ac:dyDescent="0.35">
      <c r="B42" s="2"/>
      <c r="C42" s="2"/>
      <c r="D42" s="2"/>
      <c r="E42" s="2"/>
      <c r="F42" s="2"/>
      <c r="G42" s="2"/>
      <c r="H42" s="2"/>
      <c r="I42" s="2"/>
      <c r="J42" s="2"/>
      <c r="K42" s="2"/>
      <c r="L42" s="2"/>
      <c r="M42" s="2"/>
      <c r="N42" s="2"/>
      <c r="O42" s="2"/>
      <c r="P42" s="2"/>
      <c r="Q42" s="2"/>
    </row>
    <row r="43" spans="2:17" x14ac:dyDescent="0.35">
      <c r="B43" s="2"/>
      <c r="C43" s="2"/>
      <c r="D43" s="2"/>
      <c r="E43" s="2"/>
      <c r="F43" s="2"/>
      <c r="G43" s="2"/>
      <c r="H43" s="2"/>
      <c r="I43" s="2"/>
      <c r="J43" s="2"/>
      <c r="K43" s="2"/>
      <c r="L43" s="2"/>
      <c r="M43" s="2"/>
      <c r="N43" s="2"/>
      <c r="O43" s="2"/>
      <c r="P43" s="2"/>
      <c r="Q43" s="2"/>
    </row>
  </sheetData>
  <mergeCells count="6">
    <mergeCell ref="B33:Q33"/>
    <mergeCell ref="B10:Q11"/>
    <mergeCell ref="C13:Q13"/>
    <mergeCell ref="C22:Q22"/>
    <mergeCell ref="C20:Q20"/>
    <mergeCell ref="C23:Q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85" zoomScaleNormal="85" workbookViewId="0">
      <pane xSplit="1" ySplit="2" topLeftCell="B4" activePane="bottomRight" state="frozen"/>
      <selection pane="topRight" activeCell="B1" sqref="B1"/>
      <selection pane="bottomLeft" activeCell="A3" sqref="A3"/>
      <selection pane="bottomRight" activeCell="E7" sqref="E6:E7"/>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36</v>
      </c>
      <c r="E1" s="16"/>
      <c r="F1" s="16"/>
    </row>
    <row r="2" spans="1:7" ht="16.5" customHeight="1" x14ac:dyDescent="0.35">
      <c r="A2" s="1307" t="s">
        <v>37</v>
      </c>
      <c r="B2" s="1308"/>
      <c r="C2" s="1308"/>
      <c r="D2" s="1309"/>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c r="F8" s="14"/>
      <c r="G8" s="28"/>
    </row>
    <row r="9" spans="1:7" ht="78" customHeight="1" x14ac:dyDescent="0.35">
      <c r="A9" s="18" t="s">
        <v>45</v>
      </c>
      <c r="B9" s="14" t="s">
        <v>46</v>
      </c>
      <c r="C9" s="14" t="s">
        <v>866</v>
      </c>
      <c r="D9" s="22" t="s">
        <v>916</v>
      </c>
      <c r="E9" s="14"/>
      <c r="F9" s="14"/>
    </row>
    <row r="10" spans="1:7" ht="67.5" customHeight="1" x14ac:dyDescent="0.35">
      <c r="A10" s="18" t="s">
        <v>814</v>
      </c>
      <c r="B10" s="14" t="s">
        <v>824</v>
      </c>
      <c r="C10" s="14" t="s">
        <v>878</v>
      </c>
      <c r="D10" s="22" t="s">
        <v>916</v>
      </c>
      <c r="E10" s="14"/>
      <c r="F10" s="14"/>
    </row>
    <row r="11" spans="1:7" ht="88" customHeight="1" x14ac:dyDescent="0.35">
      <c r="A11" s="18" t="s">
        <v>47</v>
      </c>
      <c r="B11" s="14" t="s">
        <v>1973</v>
      </c>
      <c r="C11" s="14" t="s">
        <v>841</v>
      </c>
      <c r="D11" s="15"/>
      <c r="E11" s="14"/>
      <c r="F11" s="14"/>
    </row>
    <row r="12" spans="1:7" ht="15" customHeight="1" x14ac:dyDescent="0.35">
      <c r="A12" s="1307" t="s">
        <v>842</v>
      </c>
      <c r="B12" s="1308"/>
      <c r="C12" s="1308"/>
      <c r="D12" s="1309"/>
      <c r="E12" s="16"/>
      <c r="F12" s="14"/>
    </row>
    <row r="13" spans="1:7" ht="29.9" customHeight="1" x14ac:dyDescent="0.35">
      <c r="A13" s="19" t="s">
        <v>9</v>
      </c>
      <c r="B13" s="1313" t="s">
        <v>844</v>
      </c>
      <c r="C13" s="1313"/>
      <c r="D13" s="23"/>
      <c r="E13" s="16"/>
      <c r="F13" s="14"/>
    </row>
    <row r="14" spans="1:7" ht="48.65" customHeight="1" x14ac:dyDescent="0.35">
      <c r="A14" s="17" t="s">
        <v>843</v>
      </c>
      <c r="B14" s="1313" t="s">
        <v>853</v>
      </c>
      <c r="C14" s="1313"/>
      <c r="D14" s="22"/>
      <c r="E14" s="16"/>
      <c r="F14" s="14"/>
    </row>
    <row r="15" spans="1:7" ht="48.65" customHeight="1" x14ac:dyDescent="0.35">
      <c r="A15" s="17" t="s">
        <v>845</v>
      </c>
      <c r="B15" s="1313" t="s">
        <v>846</v>
      </c>
      <c r="C15" s="1313"/>
      <c r="D15" s="15"/>
      <c r="E15" s="16"/>
      <c r="F15" s="14"/>
    </row>
    <row r="16" spans="1:7" x14ac:dyDescent="0.35">
      <c r="A16" s="1310" t="s">
        <v>59</v>
      </c>
      <c r="B16" s="1311"/>
      <c r="C16" s="1311"/>
      <c r="D16" s="1312"/>
      <c r="E16" s="14"/>
      <c r="F16" s="14"/>
    </row>
    <row r="17" spans="1:6" ht="36.65" customHeight="1" x14ac:dyDescent="0.35">
      <c r="A17" s="1305" t="s">
        <v>847</v>
      </c>
      <c r="B17" s="1306"/>
      <c r="C17" s="1306"/>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305" t="s">
        <v>821</v>
      </c>
      <c r="B21" s="1306"/>
      <c r="C21" s="1306"/>
      <c r="D21" s="15"/>
      <c r="E21" s="14"/>
      <c r="F21" s="14"/>
    </row>
    <row r="22" spans="1:6" x14ac:dyDescent="0.35">
      <c r="A22" s="1310" t="s">
        <v>62</v>
      </c>
      <c r="B22" s="1311"/>
      <c r="C22" s="1311"/>
      <c r="D22" s="1312"/>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307" t="s">
        <v>37</v>
      </c>
      <c r="B2" s="1308"/>
      <c r="C2" s="1308"/>
      <c r="D2" s="1309"/>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307" t="s">
        <v>842</v>
      </c>
      <c r="B11" s="1308"/>
      <c r="C11" s="1308"/>
      <c r="D11" s="1309"/>
      <c r="E11" s="16"/>
      <c r="F11" s="14"/>
    </row>
    <row r="12" spans="1:6" ht="22.5" customHeight="1" x14ac:dyDescent="0.35">
      <c r="A12" s="19" t="s">
        <v>75</v>
      </c>
      <c r="B12" s="1320" t="s">
        <v>851</v>
      </c>
      <c r="C12" s="1321"/>
      <c r="D12" s="32"/>
      <c r="E12" s="16"/>
      <c r="F12" s="14"/>
    </row>
    <row r="13" spans="1:6" ht="33" customHeight="1" x14ac:dyDescent="0.35">
      <c r="A13" s="19" t="s">
        <v>850</v>
      </c>
      <c r="B13" s="1313" t="s">
        <v>852</v>
      </c>
      <c r="C13" s="1313"/>
      <c r="D13" s="22"/>
      <c r="E13" s="14"/>
      <c r="F13" s="14"/>
    </row>
    <row r="14" spans="1:6" ht="39.65" customHeight="1" x14ac:dyDescent="0.35">
      <c r="A14" s="17" t="s">
        <v>843</v>
      </c>
      <c r="B14" s="1313" t="s">
        <v>853</v>
      </c>
      <c r="C14" s="1313"/>
      <c r="D14" s="22"/>
    </row>
    <row r="15" spans="1:6" ht="38.9" customHeight="1" x14ac:dyDescent="0.35">
      <c r="A15" s="17" t="s">
        <v>845</v>
      </c>
      <c r="B15" s="1313" t="s">
        <v>846</v>
      </c>
      <c r="C15" s="1313"/>
      <c r="D15" s="22"/>
    </row>
    <row r="16" spans="1:6" ht="20.149999999999999" customHeight="1" x14ac:dyDescent="0.35">
      <c r="A16" s="1310" t="s">
        <v>59</v>
      </c>
      <c r="B16" s="1311"/>
      <c r="C16" s="1311"/>
      <c r="D16" s="1312"/>
    </row>
    <row r="17" spans="1:7" ht="24.65" customHeight="1" x14ac:dyDescent="0.35">
      <c r="A17" s="1314" t="s">
        <v>822</v>
      </c>
      <c r="B17" s="1315"/>
      <c r="C17" s="1316"/>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317" t="s">
        <v>821</v>
      </c>
      <c r="B21" s="1318"/>
      <c r="C21" s="1319"/>
      <c r="D21" s="22"/>
    </row>
    <row r="22" spans="1:7" x14ac:dyDescent="0.35">
      <c r="A22" s="1310" t="s">
        <v>62</v>
      </c>
      <c r="B22" s="1311"/>
      <c r="C22" s="1311"/>
      <c r="D22" s="1312"/>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422729.66666666698</v>
      </c>
      <c r="F75" s="43">
        <f t="shared" si="2"/>
        <v>12462</v>
      </c>
      <c r="G75" s="49">
        <f t="shared" si="3"/>
        <v>3.0375291577937308E-2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C3" sqref="C3"/>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916</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N89"/>
  <sheetViews>
    <sheetView zoomScaleNormal="100" workbookViewId="0">
      <pane xSplit="1" ySplit="1" topLeftCell="GU44" activePane="bottomRight" state="frozen"/>
      <selection pane="topRight" activeCell="B1" sqref="B1"/>
      <selection pane="bottomLeft" activeCell="A2" sqref="A2"/>
      <selection pane="bottomRight" activeCell="HN66" sqref="HN66"/>
    </sheetView>
  </sheetViews>
  <sheetFormatPr defaultColWidth="10.90625" defaultRowHeight="14.5" x14ac:dyDescent="0.35"/>
  <cols>
    <col min="1" max="222" width="11.7265625" customWidth="1"/>
  </cols>
  <sheetData>
    <row r="1" spans="1:222" x14ac:dyDescent="0.35">
      <c r="A1" s="69" t="s">
        <v>1994</v>
      </c>
      <c r="B1" s="69" t="s">
        <v>1995</v>
      </c>
      <c r="C1" s="69" t="s">
        <v>1996</v>
      </c>
      <c r="D1" s="69" t="s">
        <v>1997</v>
      </c>
      <c r="E1" s="69" t="s">
        <v>1998</v>
      </c>
      <c r="F1" s="69" t="s">
        <v>1999</v>
      </c>
      <c r="G1" s="69" t="s">
        <v>2000</v>
      </c>
      <c r="H1" s="69" t="s">
        <v>2001</v>
      </c>
      <c r="I1" s="69" t="s">
        <v>2002</v>
      </c>
      <c r="J1" s="69" t="s">
        <v>2003</v>
      </c>
      <c r="K1" s="69" t="s">
        <v>2004</v>
      </c>
      <c r="L1" s="69" t="s">
        <v>2005</v>
      </c>
      <c r="M1" s="69" t="s">
        <v>2006</v>
      </c>
      <c r="N1" s="69" t="s">
        <v>2007</v>
      </c>
      <c r="O1" s="69" t="s">
        <v>2008</v>
      </c>
      <c r="P1" s="69" t="s">
        <v>2009</v>
      </c>
      <c r="Q1" s="69" t="s">
        <v>2010</v>
      </c>
      <c r="R1" s="69" t="s">
        <v>2011</v>
      </c>
      <c r="S1" s="69" t="s">
        <v>2012</v>
      </c>
      <c r="T1" s="69" t="s">
        <v>2013</v>
      </c>
      <c r="U1" s="69" t="s">
        <v>2014</v>
      </c>
      <c r="V1" s="69" t="s">
        <v>2015</v>
      </c>
      <c r="W1" s="69" t="s">
        <v>2016</v>
      </c>
      <c r="X1" s="69" t="s">
        <v>2017</v>
      </c>
      <c r="Y1" s="69" t="s">
        <v>2018</v>
      </c>
      <c r="Z1" s="69" t="s">
        <v>2019</v>
      </c>
      <c r="AA1" s="69" t="s">
        <v>2020</v>
      </c>
      <c r="AB1" s="69" t="s">
        <v>2021</v>
      </c>
      <c r="AC1" s="69" t="s">
        <v>2022</v>
      </c>
      <c r="AD1" s="69" t="s">
        <v>2023</v>
      </c>
      <c r="AE1" s="69" t="s">
        <v>2024</v>
      </c>
      <c r="AF1" s="69" t="s">
        <v>2025</v>
      </c>
      <c r="AG1" s="69" t="s">
        <v>2026</v>
      </c>
      <c r="AH1" s="69" t="s">
        <v>2027</v>
      </c>
      <c r="AI1" s="69" t="s">
        <v>2028</v>
      </c>
      <c r="AJ1" s="69" t="s">
        <v>2029</v>
      </c>
      <c r="AK1" s="69" t="s">
        <v>2030</v>
      </c>
      <c r="AL1" s="69" t="s">
        <v>2031</v>
      </c>
      <c r="AM1" s="69" t="s">
        <v>2032</v>
      </c>
      <c r="AN1" s="69" t="s">
        <v>2033</v>
      </c>
      <c r="AO1" s="69" t="s">
        <v>2034</v>
      </c>
      <c r="AP1" s="69" t="s">
        <v>2035</v>
      </c>
      <c r="AQ1" s="69" t="s">
        <v>2036</v>
      </c>
      <c r="AR1" s="69" t="s">
        <v>2037</v>
      </c>
      <c r="AS1" s="69" t="s">
        <v>2038</v>
      </c>
      <c r="AT1" s="69" t="s">
        <v>2039</v>
      </c>
      <c r="AU1" s="69" t="s">
        <v>2040</v>
      </c>
      <c r="AV1" s="69" t="s">
        <v>2041</v>
      </c>
      <c r="AW1" s="69" t="s">
        <v>2042</v>
      </c>
      <c r="AX1" s="69" t="s">
        <v>2043</v>
      </c>
      <c r="AY1" s="69" t="s">
        <v>2044</v>
      </c>
      <c r="AZ1" s="69" t="s">
        <v>2045</v>
      </c>
      <c r="BA1" s="69" t="s">
        <v>2046</v>
      </c>
      <c r="BB1" s="69" t="s">
        <v>2047</v>
      </c>
      <c r="BC1" s="69" t="s">
        <v>2048</v>
      </c>
      <c r="BD1" s="69" t="s">
        <v>2049</v>
      </c>
      <c r="BE1" s="69" t="s">
        <v>2050</v>
      </c>
      <c r="BF1" s="69" t="s">
        <v>2051</v>
      </c>
      <c r="BG1" s="69" t="s">
        <v>2052</v>
      </c>
      <c r="BH1" s="69" t="s">
        <v>2053</v>
      </c>
      <c r="BI1" s="69" t="s">
        <v>2054</v>
      </c>
      <c r="BJ1" s="69" t="s">
        <v>2055</v>
      </c>
      <c r="BK1" s="69" t="s">
        <v>2056</v>
      </c>
      <c r="BL1" s="69" t="s">
        <v>2057</v>
      </c>
      <c r="BM1" s="69" t="s">
        <v>2058</v>
      </c>
      <c r="BN1" s="69" t="s">
        <v>2059</v>
      </c>
      <c r="BO1" s="69" t="s">
        <v>2060</v>
      </c>
      <c r="BP1" s="69" t="s">
        <v>2061</v>
      </c>
      <c r="BQ1" s="69" t="s">
        <v>2062</v>
      </c>
      <c r="BR1" s="69" t="s">
        <v>2063</v>
      </c>
      <c r="BS1" s="69" t="s">
        <v>2064</v>
      </c>
      <c r="BT1" s="69" t="s">
        <v>2065</v>
      </c>
      <c r="BU1" s="69" t="s">
        <v>2066</v>
      </c>
      <c r="BV1" s="69" t="s">
        <v>2067</v>
      </c>
      <c r="BW1" s="69" t="s">
        <v>2068</v>
      </c>
      <c r="BX1" s="69" t="s">
        <v>2069</v>
      </c>
      <c r="BY1" s="69" t="s">
        <v>2070</v>
      </c>
      <c r="BZ1" s="69" t="s">
        <v>2071</v>
      </c>
      <c r="CA1" s="69" t="s">
        <v>2072</v>
      </c>
      <c r="CB1" s="69" t="s">
        <v>2073</v>
      </c>
      <c r="CC1" s="69" t="s">
        <v>2074</v>
      </c>
      <c r="CD1" s="69" t="s">
        <v>2075</v>
      </c>
      <c r="CE1" s="69" t="s">
        <v>2076</v>
      </c>
      <c r="CF1" s="69" t="s">
        <v>2077</v>
      </c>
      <c r="CG1" s="69" t="s">
        <v>2078</v>
      </c>
      <c r="CH1" s="69" t="s">
        <v>2079</v>
      </c>
      <c r="CI1" s="69" t="s">
        <v>2080</v>
      </c>
      <c r="CJ1" s="69" t="s">
        <v>2081</v>
      </c>
      <c r="CK1" s="69" t="s">
        <v>2082</v>
      </c>
      <c r="CL1" s="69" t="s">
        <v>2083</v>
      </c>
      <c r="CM1" s="69" t="s">
        <v>2084</v>
      </c>
      <c r="CN1" s="69" t="s">
        <v>2085</v>
      </c>
      <c r="CO1" s="69" t="s">
        <v>2086</v>
      </c>
      <c r="CP1" s="69" t="s">
        <v>2087</v>
      </c>
      <c r="CQ1" s="69" t="s">
        <v>2088</v>
      </c>
      <c r="CR1" s="69" t="s">
        <v>2089</v>
      </c>
      <c r="CS1" s="69" t="s">
        <v>2090</v>
      </c>
      <c r="CT1" s="69" t="s">
        <v>2091</v>
      </c>
      <c r="CU1" s="69" t="s">
        <v>2092</v>
      </c>
      <c r="CV1" s="69" t="s">
        <v>2093</v>
      </c>
      <c r="CW1" s="69" t="s">
        <v>2094</v>
      </c>
      <c r="CX1" s="69" t="s">
        <v>2095</v>
      </c>
      <c r="CY1" s="69" t="s">
        <v>2096</v>
      </c>
      <c r="CZ1" s="69" t="s">
        <v>2097</v>
      </c>
      <c r="DA1" s="69" t="s">
        <v>2098</v>
      </c>
      <c r="DB1" s="69" t="s">
        <v>2099</v>
      </c>
      <c r="DC1" s="69" t="s">
        <v>2100</v>
      </c>
      <c r="DD1" s="69" t="s">
        <v>2101</v>
      </c>
      <c r="DE1" s="69" t="s">
        <v>2102</v>
      </c>
      <c r="DF1" s="69" t="s">
        <v>2103</v>
      </c>
      <c r="DG1" s="69" t="s">
        <v>2104</v>
      </c>
      <c r="DH1" s="69" t="s">
        <v>2105</v>
      </c>
      <c r="DI1" s="69" t="s">
        <v>2106</v>
      </c>
      <c r="DJ1" s="69" t="s">
        <v>2107</v>
      </c>
      <c r="DK1" s="69" t="s">
        <v>2108</v>
      </c>
      <c r="DL1" s="69" t="s">
        <v>2109</v>
      </c>
      <c r="DM1" s="69" t="s">
        <v>2110</v>
      </c>
      <c r="DN1" s="69" t="s">
        <v>2111</v>
      </c>
      <c r="DO1" s="69" t="s">
        <v>2112</v>
      </c>
      <c r="DP1" s="69" t="s">
        <v>2113</v>
      </c>
      <c r="DQ1" s="69" t="s">
        <v>2114</v>
      </c>
      <c r="DR1" s="69" t="s">
        <v>2115</v>
      </c>
      <c r="DS1" s="69" t="s">
        <v>2116</v>
      </c>
      <c r="DT1" s="69" t="s">
        <v>2117</v>
      </c>
      <c r="DU1" s="69" t="s">
        <v>2118</v>
      </c>
      <c r="DV1" s="69" t="s">
        <v>2119</v>
      </c>
      <c r="DW1" s="69" t="s">
        <v>2120</v>
      </c>
      <c r="DX1" s="69" t="s">
        <v>2121</v>
      </c>
      <c r="DY1" s="69" t="s">
        <v>2122</v>
      </c>
      <c r="DZ1" s="69" t="s">
        <v>2123</v>
      </c>
      <c r="EA1" s="69" t="s">
        <v>2124</v>
      </c>
      <c r="EB1" s="69" t="s">
        <v>2125</v>
      </c>
      <c r="EC1" s="69" t="s">
        <v>2126</v>
      </c>
      <c r="ED1" s="69" t="s">
        <v>2127</v>
      </c>
      <c r="EE1" s="69" t="s">
        <v>2128</v>
      </c>
      <c r="EF1" s="69" t="s">
        <v>2129</v>
      </c>
      <c r="EG1" s="69" t="s">
        <v>2130</v>
      </c>
      <c r="EH1" s="69" t="s">
        <v>2131</v>
      </c>
      <c r="EI1" s="69" t="s">
        <v>2132</v>
      </c>
      <c r="EJ1" s="69" t="s">
        <v>2133</v>
      </c>
      <c r="EK1" s="69" t="s">
        <v>2134</v>
      </c>
      <c r="EL1" s="69" t="s">
        <v>2135</v>
      </c>
      <c r="EM1" s="69" t="s">
        <v>2136</v>
      </c>
      <c r="EN1" s="69" t="s">
        <v>2137</v>
      </c>
      <c r="EO1" s="69" t="s">
        <v>2138</v>
      </c>
      <c r="EP1" s="69" t="s">
        <v>2139</v>
      </c>
      <c r="EQ1" s="69" t="s">
        <v>2140</v>
      </c>
      <c r="ER1" s="69" t="s">
        <v>2141</v>
      </c>
      <c r="ES1" s="69" t="s">
        <v>2142</v>
      </c>
      <c r="ET1" s="69" t="s">
        <v>2143</v>
      </c>
      <c r="EU1" s="69" t="s">
        <v>2144</v>
      </c>
      <c r="EV1" s="69" t="s">
        <v>2145</v>
      </c>
      <c r="EW1" s="69" t="s">
        <v>2146</v>
      </c>
      <c r="EX1" s="69" t="s">
        <v>2147</v>
      </c>
      <c r="EY1" s="69" t="s">
        <v>2148</v>
      </c>
      <c r="EZ1" s="69" t="s">
        <v>2149</v>
      </c>
      <c r="FA1" s="69" t="s">
        <v>2150</v>
      </c>
      <c r="FB1" s="69" t="s">
        <v>2151</v>
      </c>
      <c r="FC1" s="69" t="s">
        <v>2152</v>
      </c>
      <c r="FD1" s="69" t="s">
        <v>2153</v>
      </c>
      <c r="FE1" s="69" t="s">
        <v>2154</v>
      </c>
      <c r="FF1" s="69" t="s">
        <v>2155</v>
      </c>
      <c r="FG1" s="69" t="s">
        <v>2156</v>
      </c>
      <c r="FH1" s="69" t="s">
        <v>2157</v>
      </c>
      <c r="FI1" s="69" t="s">
        <v>2158</v>
      </c>
      <c r="FJ1" s="69" t="s">
        <v>2159</v>
      </c>
      <c r="FK1" s="69" t="s">
        <v>2160</v>
      </c>
      <c r="FL1" s="69" t="s">
        <v>2161</v>
      </c>
      <c r="FM1" s="69" t="s">
        <v>2162</v>
      </c>
      <c r="FN1" s="69" t="s">
        <v>2163</v>
      </c>
      <c r="FO1" s="69" t="s">
        <v>2164</v>
      </c>
      <c r="FP1" s="69" t="s">
        <v>2165</v>
      </c>
      <c r="FQ1" s="69" t="s">
        <v>2166</v>
      </c>
      <c r="FR1" s="69" t="s">
        <v>2167</v>
      </c>
      <c r="FS1" s="69" t="s">
        <v>2168</v>
      </c>
      <c r="FT1" s="69" t="s">
        <v>2169</v>
      </c>
      <c r="FU1" s="69" t="s">
        <v>2170</v>
      </c>
      <c r="FV1" s="69" t="s">
        <v>2171</v>
      </c>
      <c r="FW1" s="69" t="s">
        <v>2172</v>
      </c>
      <c r="FX1" s="69" t="s">
        <v>2173</v>
      </c>
      <c r="FY1" s="69" t="s">
        <v>2174</v>
      </c>
      <c r="FZ1" s="69" t="s">
        <v>2175</v>
      </c>
      <c r="GA1" s="69" t="s">
        <v>2176</v>
      </c>
      <c r="GB1" s="69" t="s">
        <v>2177</v>
      </c>
      <c r="GC1" s="69" t="s">
        <v>2178</v>
      </c>
      <c r="GD1" s="69" t="s">
        <v>2179</v>
      </c>
      <c r="GE1" s="69" t="s">
        <v>2180</v>
      </c>
      <c r="GF1" s="69" t="s">
        <v>2181</v>
      </c>
      <c r="GG1" s="69" t="s">
        <v>2182</v>
      </c>
      <c r="GH1" s="69" t="s">
        <v>2183</v>
      </c>
      <c r="GI1" s="69" t="s">
        <v>2184</v>
      </c>
      <c r="GJ1" s="69" t="s">
        <v>2185</v>
      </c>
      <c r="GK1" s="69" t="s">
        <v>2186</v>
      </c>
      <c r="GL1" s="69" t="s">
        <v>2187</v>
      </c>
      <c r="GM1" s="69" t="s">
        <v>2188</v>
      </c>
      <c r="GN1" s="69" t="s">
        <v>2189</v>
      </c>
      <c r="GO1" s="69" t="s">
        <v>2190</v>
      </c>
      <c r="GP1" s="69" t="s">
        <v>2191</v>
      </c>
      <c r="GQ1" s="69" t="s">
        <v>2192</v>
      </c>
      <c r="GR1" s="69" t="s">
        <v>2193</v>
      </c>
      <c r="GS1" s="69" t="s">
        <v>2194</v>
      </c>
      <c r="GT1" s="69" t="s">
        <v>2195</v>
      </c>
      <c r="GU1" s="69" t="s">
        <v>2196</v>
      </c>
      <c r="GV1" s="69" t="s">
        <v>2197</v>
      </c>
      <c r="GW1" s="69" t="s">
        <v>2198</v>
      </c>
      <c r="GX1" s="69" t="s">
        <v>2199</v>
      </c>
      <c r="GY1" s="69" t="s">
        <v>2200</v>
      </c>
      <c r="GZ1" s="69" t="s">
        <v>2201</v>
      </c>
      <c r="HA1" s="69" t="s">
        <v>2202</v>
      </c>
      <c r="HB1" s="69" t="s">
        <v>2203</v>
      </c>
      <c r="HC1" s="69" t="s">
        <v>2204</v>
      </c>
      <c r="HD1" s="69" t="s">
        <v>2205</v>
      </c>
      <c r="HE1" s="69" t="s">
        <v>2206</v>
      </c>
      <c r="HF1" s="69" t="s">
        <v>2207</v>
      </c>
      <c r="HG1" s="69" t="s">
        <v>2208</v>
      </c>
      <c r="HH1" s="69" t="s">
        <v>2209</v>
      </c>
      <c r="HI1" s="69" t="s">
        <v>2210</v>
      </c>
      <c r="HJ1" s="69" t="s">
        <v>2211</v>
      </c>
      <c r="HK1" s="69" t="s">
        <v>2212</v>
      </c>
      <c r="HL1" s="69" t="s">
        <v>2213</v>
      </c>
      <c r="HM1" s="69" t="s">
        <v>2214</v>
      </c>
      <c r="HN1" s="69" t="s">
        <v>2215</v>
      </c>
    </row>
    <row r="2" spans="1:222" x14ac:dyDescent="0.35">
      <c r="A2" s="56" t="s">
        <v>2216</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row>
    <row r="3" spans="1:222" x14ac:dyDescent="0.35">
      <c r="A3" s="56" t="s">
        <v>2217</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row>
    <row r="4" spans="1:222" x14ac:dyDescent="0.35">
      <c r="A4" s="56" t="s">
        <v>2218</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row>
    <row r="5" spans="1:222" x14ac:dyDescent="0.35">
      <c r="A5" s="56" t="s">
        <v>2219</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row>
    <row r="6" spans="1:222" x14ac:dyDescent="0.35">
      <c r="A6" s="56" t="s">
        <v>2220</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row>
    <row r="7" spans="1:222" x14ac:dyDescent="0.35">
      <c r="A7" s="56" t="s">
        <v>2221</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row>
    <row r="8" spans="1:222" x14ac:dyDescent="0.35">
      <c r="A8" s="56" t="s">
        <v>2222</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row>
    <row r="9" spans="1:222" x14ac:dyDescent="0.35">
      <c r="A9" s="56" t="s">
        <v>2223</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row>
    <row r="10" spans="1:222" x14ac:dyDescent="0.35">
      <c r="A10" s="56" t="s">
        <v>2224</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row>
    <row r="11" spans="1:222" x14ac:dyDescent="0.35">
      <c r="A11" s="56" t="s">
        <v>2225</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row>
    <row r="12" spans="1:222" x14ac:dyDescent="0.35">
      <c r="A12" s="56" t="s">
        <v>2226</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row>
    <row r="13" spans="1:222" x14ac:dyDescent="0.35">
      <c r="A13" s="56" t="s">
        <v>2227</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row>
    <row r="14" spans="1:222" x14ac:dyDescent="0.35">
      <c r="A14" s="56" t="s">
        <v>2228</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row>
    <row r="15" spans="1:222" x14ac:dyDescent="0.35">
      <c r="A15" s="56" t="s">
        <v>2229</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row>
    <row r="16" spans="1:222" x14ac:dyDescent="0.35">
      <c r="A16" s="56" t="s">
        <v>2230</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row>
    <row r="17" spans="1:222" x14ac:dyDescent="0.35">
      <c r="A17" s="56" t="s">
        <v>2231</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row>
    <row r="18" spans="1:222" x14ac:dyDescent="0.35">
      <c r="A18" s="56" t="s">
        <v>2232</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row>
    <row r="19" spans="1:222" x14ac:dyDescent="0.35">
      <c r="A19" s="56" t="s">
        <v>2233</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2" x14ac:dyDescent="0.35">
      <c r="A20" s="56" t="s">
        <v>2234</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row>
    <row r="21" spans="1:222" x14ac:dyDescent="0.35">
      <c r="A21" s="56" t="s">
        <v>2235</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row>
    <row r="22" spans="1:222" x14ac:dyDescent="0.35">
      <c r="A22" s="56" t="s">
        <v>2236</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row>
    <row r="23" spans="1:222" x14ac:dyDescent="0.35">
      <c r="A23" s="56" t="s">
        <v>2237</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row>
    <row r="24" spans="1:222" x14ac:dyDescent="0.35">
      <c r="A24" s="56" t="s">
        <v>2238</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row>
    <row r="25" spans="1:222" x14ac:dyDescent="0.35">
      <c r="A25" s="56" t="s">
        <v>2239</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row>
    <row r="26" spans="1:222" x14ac:dyDescent="0.35">
      <c r="A26" s="56" t="s">
        <v>2240</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row>
    <row r="27" spans="1:222" x14ac:dyDescent="0.35">
      <c r="A27" s="56" t="s">
        <v>2241</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row>
    <row r="28" spans="1:222" x14ac:dyDescent="0.35">
      <c r="A28" s="56" t="s">
        <v>2242</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row>
    <row r="29" spans="1:222" x14ac:dyDescent="0.35">
      <c r="A29" s="56" t="s">
        <v>2243</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2" x14ac:dyDescent="0.35">
      <c r="A30" s="56" t="s">
        <v>2244</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row>
    <row r="31" spans="1:222" x14ac:dyDescent="0.35">
      <c r="A31" s="56" t="s">
        <v>2245</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row>
    <row r="32" spans="1:222" x14ac:dyDescent="0.35">
      <c r="A32" s="56" t="s">
        <v>2246</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row>
    <row r="33" spans="1:222" x14ac:dyDescent="0.35">
      <c r="A33" s="56" t="s">
        <v>2247</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row>
    <row r="34" spans="1:222" x14ac:dyDescent="0.35">
      <c r="A34" s="56" t="s">
        <v>2248</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row>
    <row r="35" spans="1:222" x14ac:dyDescent="0.35">
      <c r="A35" s="56" t="s">
        <v>2249</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2" x14ac:dyDescent="0.35">
      <c r="A36" s="56" t="s">
        <v>2250</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row>
    <row r="37" spans="1:222" x14ac:dyDescent="0.35">
      <c r="A37" s="56" t="s">
        <v>2251</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row>
    <row r="38" spans="1:222" x14ac:dyDescent="0.35">
      <c r="A38" s="56" t="s">
        <v>2252</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row>
    <row r="39" spans="1:222" x14ac:dyDescent="0.35">
      <c r="A39" s="56" t="s">
        <v>2253</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row>
    <row r="40" spans="1:222" x14ac:dyDescent="0.35">
      <c r="A40" s="56" t="s">
        <v>2254</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row>
    <row r="41" spans="1:222" x14ac:dyDescent="0.35">
      <c r="A41" s="56" t="s">
        <v>2255</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row>
    <row r="42" spans="1:222" x14ac:dyDescent="0.35">
      <c r="A42" s="56" t="s">
        <v>2256</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row>
    <row r="43" spans="1:222" x14ac:dyDescent="0.35">
      <c r="A43" s="56" t="s">
        <v>2257</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row>
    <row r="44" spans="1:222" x14ac:dyDescent="0.35">
      <c r="A44" s="56" t="s">
        <v>2258</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row>
    <row r="45" spans="1:222" x14ac:dyDescent="0.35">
      <c r="A45" s="56" t="s">
        <v>2259</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2" x14ac:dyDescent="0.35">
      <c r="A46" s="56" t="s">
        <v>2260</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2" x14ac:dyDescent="0.35">
      <c r="A47" s="56" t="s">
        <v>2261</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2" x14ac:dyDescent="0.35">
      <c r="A48" s="56" t="s">
        <v>2262</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2263</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2264</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2265</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2266</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2267</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2268</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2269</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2270</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2271</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2272</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2273</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2274</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2275</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2276</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2277</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2278</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2" x14ac:dyDescent="0.35">
      <c r="A65" s="56" t="s">
        <v>2279</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row>
    <row r="66" spans="1:222" x14ac:dyDescent="0.35">
      <c r="A66" s="56" t="s">
        <v>2280</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row>
    <row r="67" spans="1:222" x14ac:dyDescent="0.35">
      <c r="A67" s="56" t="s">
        <v>2281</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row>
    <row r="68" spans="1:222" x14ac:dyDescent="0.35">
      <c r="A68" s="56" t="s">
        <v>2282</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row>
    <row r="69" spans="1:222" x14ac:dyDescent="0.35">
      <c r="A69" s="56" t="s">
        <v>2283</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row>
    <row r="70" spans="1:222" x14ac:dyDescent="0.35">
      <c r="A70" s="56" t="s">
        <v>2284</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row>
    <row r="71" spans="1:222" x14ac:dyDescent="0.35">
      <c r="A71" s="56" t="s">
        <v>2285</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row>
    <row r="72" spans="1:222" x14ac:dyDescent="0.35">
      <c r="A72" s="56" t="s">
        <v>2286</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row>
    <row r="73" spans="1:222" x14ac:dyDescent="0.35">
      <c r="A73" s="56" t="s">
        <v>2287</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row>
    <row r="74" spans="1:222" x14ac:dyDescent="0.35">
      <c r="A74" s="56" t="s">
        <v>2288</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281221.66666666698</v>
      </c>
      <c r="GM74" s="56">
        <v>289749.33333333302</v>
      </c>
      <c r="GN74" s="56">
        <v>294085</v>
      </c>
      <c r="GO74" s="56">
        <v>286210.33333333302</v>
      </c>
      <c r="GP74" s="56">
        <v>302265.33333333302</v>
      </c>
      <c r="GQ74" s="56">
        <v>320029.66666666698</v>
      </c>
      <c r="GR74" s="56">
        <v>323820</v>
      </c>
      <c r="GS74" s="56">
        <v>324569.33333333302</v>
      </c>
      <c r="GT74" s="56">
        <v>343782</v>
      </c>
      <c r="GU74" s="56">
        <v>342186.66666666698</v>
      </c>
      <c r="GV74" s="56">
        <v>335548</v>
      </c>
      <c r="GW74" s="56">
        <v>341539.66666666698</v>
      </c>
      <c r="GX74" s="56">
        <v>339364</v>
      </c>
      <c r="GY74" s="56">
        <v>333909.66666666698</v>
      </c>
      <c r="GZ74" s="56">
        <v>330388.66666666698</v>
      </c>
      <c r="HA74" s="56">
        <v>329826.33333333302</v>
      </c>
      <c r="HB74">
        <v>340441</v>
      </c>
      <c r="HC74">
        <v>346689.66666666698</v>
      </c>
      <c r="HD74">
        <v>362679.33333333302</v>
      </c>
      <c r="HE74">
        <v>368692.66666666698</v>
      </c>
      <c r="HF74">
        <v>386955.66666666698</v>
      </c>
      <c r="HG74">
        <v>411120.33333333302</v>
      </c>
      <c r="HH74">
        <v>422729.66666666698</v>
      </c>
      <c r="HI74">
        <v>444155.66666666698</v>
      </c>
      <c r="HJ74">
        <v>446004.66666666698</v>
      </c>
      <c r="HK74">
        <v>451232.66666666698</v>
      </c>
      <c r="HL74">
        <v>460594.33333333302</v>
      </c>
      <c r="HM74">
        <v>469425.33333333302</v>
      </c>
      <c r="HN74">
        <v>473389.66666666698</v>
      </c>
    </row>
    <row r="75" spans="1:222" x14ac:dyDescent="0.35">
      <c r="A75" s="56" t="s">
        <v>2289</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row>
    <row r="76" spans="1:222" x14ac:dyDescent="0.35">
      <c r="A76" s="56" t="s">
        <v>2290</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row>
    <row r="77" spans="1:222" x14ac:dyDescent="0.35">
      <c r="A77" s="56" t="s">
        <v>2291</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row>
    <row r="78" spans="1:222" x14ac:dyDescent="0.35">
      <c r="A78" s="56" t="s">
        <v>2292</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row>
    <row r="79" spans="1:222" x14ac:dyDescent="0.35">
      <c r="A79" s="56" t="s">
        <v>2293</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row>
    <row r="80" spans="1:222" x14ac:dyDescent="0.35">
      <c r="A80" s="56" t="s">
        <v>2294</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row>
    <row r="81" spans="1:222" x14ac:dyDescent="0.35">
      <c r="A81" s="56" t="s">
        <v>2295</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row>
    <row r="82" spans="1:222" x14ac:dyDescent="0.35">
      <c r="A82" s="56" t="s">
        <v>2296</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row>
    <row r="83" spans="1:222" x14ac:dyDescent="0.35">
      <c r="A83" s="56" t="s">
        <v>2297</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row>
    <row r="84" spans="1:222" x14ac:dyDescent="0.35">
      <c r="A84" s="56" t="s">
        <v>2298</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row>
    <row r="85" spans="1:222" x14ac:dyDescent="0.35">
      <c r="A85" s="56" t="s">
        <v>2299</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2" x14ac:dyDescent="0.35">
      <c r="A86" s="56" t="s">
        <v>2300</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2" x14ac:dyDescent="0.35">
      <c r="A87" s="56" t="s">
        <v>2301</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2" ht="19.399999999999999" customHeight="1" x14ac:dyDescent="0.35">
      <c r="A88" s="56" t="s">
        <v>2302</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row>
    <row r="89" spans="1:222" x14ac:dyDescent="0.35">
      <c r="A89" s="56" t="s">
        <v>2303</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topLeftCell="B1" workbookViewId="0">
      <selection activeCell="C24" sqref="C24"/>
    </sheetView>
  </sheetViews>
  <sheetFormatPr defaultColWidth="10.90625" defaultRowHeight="14.5" x14ac:dyDescent="0.35"/>
  <cols>
    <col min="1" max="1" width="33" customWidth="1"/>
    <col min="2" max="3" width="27.1796875" customWidth="1"/>
  </cols>
  <sheetData>
    <row r="1" spans="1:22"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row>
    <row r="2" spans="1:22"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row>
    <row r="3" spans="1:22" ht="29.15" customHeight="1" x14ac:dyDescent="0.35">
      <c r="A3" s="14" t="s">
        <v>790</v>
      </c>
      <c r="B3" t="s">
        <v>787</v>
      </c>
      <c r="C3">
        <v>1649.3000000000004</v>
      </c>
      <c r="D3">
        <f>'Social Benefits'!K33</f>
        <v>1804.1</v>
      </c>
      <c r="E3">
        <f>'Social Benefits'!L33</f>
        <v>1687.3999999999999</v>
      </c>
      <c r="F3">
        <f>'Social Benefits'!M33</f>
        <v>1744.3000000000004</v>
      </c>
      <c r="G3">
        <f>'Social Benefits'!N33</f>
        <v>1748.4781600000001</v>
      </c>
      <c r="H3">
        <f>'Social Benefits'!O33</f>
        <v>1919.3298399999999</v>
      </c>
      <c r="I3" s="56">
        <f>'Social Benefits'!P33</f>
        <v>1899.5239999999999</v>
      </c>
      <c r="J3" s="56">
        <f>'Social Benefits'!Q33</f>
        <v>1929.424</v>
      </c>
      <c r="K3" s="56">
        <f>'Social Benefits'!R33</f>
        <v>1935.4239999999995</v>
      </c>
      <c r="L3" s="56">
        <f>'Social Benefits'!S33</f>
        <v>1929.3240000000001</v>
      </c>
      <c r="M3" s="56">
        <f>'Social Benefits'!T33</f>
        <v>2003.6840000000002</v>
      </c>
      <c r="N3" s="56">
        <f>'Social Benefits'!U33</f>
        <v>2013.7840000000001</v>
      </c>
      <c r="O3" s="56">
        <f>'Social Benefits'!V33</f>
        <v>2002.924</v>
      </c>
      <c r="P3" s="71">
        <f>'Social Benefits'!W33</f>
        <v>2013.7240000000002</v>
      </c>
      <c r="Q3" s="71">
        <f>'Social Benefits'!X33</f>
        <v>2019.2990000000002</v>
      </c>
      <c r="R3" s="71">
        <f>'Social Benefits'!Y33</f>
        <v>2111.2989999999995</v>
      </c>
      <c r="S3" s="71">
        <f>'Social Benefits'!Z33</f>
        <v>2135.3989999999999</v>
      </c>
      <c r="T3" s="71">
        <f>'Social Benefits'!AA33</f>
        <v>2152.1989999999996</v>
      </c>
      <c r="U3" s="71">
        <f>'Social Benefits'!AB33</f>
        <v>2169.998</v>
      </c>
      <c r="V3" s="71">
        <f>'Social Benefits'!AC33</f>
        <v>2262.2980000000002</v>
      </c>
    </row>
    <row r="4" spans="1:22" ht="29.15" customHeight="1" x14ac:dyDescent="0.35">
      <c r="A4" s="14" t="s">
        <v>792</v>
      </c>
      <c r="B4" t="s">
        <v>788</v>
      </c>
      <c r="C4">
        <v>0</v>
      </c>
      <c r="D4">
        <f>'Social Benefits'!K24</f>
        <v>0</v>
      </c>
      <c r="E4">
        <f>'Social Benefits'!L24</f>
        <v>0</v>
      </c>
      <c r="F4">
        <f>'Social Benefits'!M24</f>
        <v>0</v>
      </c>
      <c r="G4">
        <f>'Social Benefits'!N24</f>
        <v>33.921840000000024</v>
      </c>
      <c r="H4">
        <f>'Social Benefits'!O24</f>
        <v>44.966160000000031</v>
      </c>
      <c r="I4" s="56">
        <f>'Social Benefits'!P24</f>
        <v>52.756999999999998</v>
      </c>
      <c r="J4" s="56">
        <f>'Social Benefits'!Q24</f>
        <v>52.756999999999998</v>
      </c>
      <c r="K4" s="56">
        <f>'Social Benefits'!R24</f>
        <v>52.756999999999998</v>
      </c>
      <c r="L4" s="56">
        <f>'Social Benefits'!S24</f>
        <v>52.756999999999998</v>
      </c>
      <c r="M4" s="56">
        <f>'Social Benefits'!T24</f>
        <v>30</v>
      </c>
      <c r="N4" s="56">
        <f>'Social Benefits'!U24</f>
        <v>12</v>
      </c>
      <c r="O4" s="56">
        <f>'Social Benefits'!V24</f>
        <v>12</v>
      </c>
      <c r="P4" s="71">
        <f>'Social Benefits'!W24</f>
        <v>12</v>
      </c>
      <c r="Q4" s="71">
        <f>'Social Benefits'!X24</f>
        <v>4.2219999999999995</v>
      </c>
      <c r="R4" s="71">
        <f>'Social Benefits'!Y24</f>
        <v>4.2219999999999995</v>
      </c>
      <c r="S4" s="71">
        <f>'Social Benefits'!Z24</f>
        <v>4.2219999999999995</v>
      </c>
      <c r="T4" s="71">
        <f>'Social Benefits'!AA24</f>
        <v>4.2219999999999995</v>
      </c>
      <c r="U4" s="71">
        <f>'Social Benefits'!AB24</f>
        <v>2.3719999999999999</v>
      </c>
      <c r="V4" s="71">
        <f>'Social Benefits'!AC24</f>
        <v>2.3719999999999999</v>
      </c>
    </row>
    <row r="5" spans="1:22" x14ac:dyDescent="0.35">
      <c r="A5" s="14" t="s">
        <v>791</v>
      </c>
      <c r="B5" t="s">
        <v>789</v>
      </c>
      <c r="C5">
        <v>160.9</v>
      </c>
      <c r="D5">
        <f>'Social Benefits'!K30</f>
        <v>58.4</v>
      </c>
      <c r="E5">
        <f>'Social Benefits'!L30</f>
        <v>34.5</v>
      </c>
      <c r="F5">
        <f>'Social Benefits'!M30</f>
        <v>21.4</v>
      </c>
      <c r="G5">
        <f>'Social Benefits'!N30</f>
        <v>13.3</v>
      </c>
      <c r="H5">
        <f>'Social Benefits'!O30</f>
        <v>21.804000000000041</v>
      </c>
      <c r="I5" s="56">
        <f>'Social Benefits'!P30</f>
        <v>51.919000000000011</v>
      </c>
      <c r="J5" s="56">
        <f>'Social Benefits'!Q30</f>
        <v>46.619</v>
      </c>
      <c r="K5" s="56">
        <f>'Social Benefits'!R30</f>
        <v>39.719000000000008</v>
      </c>
      <c r="L5" s="56">
        <f>'Social Benefits'!S30</f>
        <v>27.819000000000003</v>
      </c>
      <c r="M5" s="56">
        <f>'Social Benefits'!T30</f>
        <v>6.3160000000000007</v>
      </c>
      <c r="N5" s="56">
        <f>'Social Benefits'!U30</f>
        <v>1.4159999999999999</v>
      </c>
      <c r="O5" s="56">
        <f>'Social Benefits'!V30</f>
        <v>1.4159999999999999</v>
      </c>
      <c r="P5" s="71">
        <f>'Social Benefits'!W30</f>
        <v>1.4159999999999999</v>
      </c>
      <c r="Q5" s="71">
        <f>'Social Benefits'!X30</f>
        <v>1.4790000000000001</v>
      </c>
      <c r="R5" s="71">
        <f>'Social Benefits'!Y30</f>
        <v>1.4790000000000001</v>
      </c>
      <c r="S5" s="71">
        <f>'Social Benefits'!Z30</f>
        <v>1.4790000000000001</v>
      </c>
      <c r="T5" s="71">
        <f>'Social Benefits'!AA30</f>
        <v>1.4790000000000001</v>
      </c>
      <c r="U5" s="71">
        <f>'Social Benefits'!AB30</f>
        <v>1.63</v>
      </c>
      <c r="V5" s="71">
        <f>'Social Benefits'!AC30</f>
        <v>1.63</v>
      </c>
    </row>
    <row r="6" spans="1:22"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row>
    <row r="7" spans="1:22" ht="29.15" customHeight="1" x14ac:dyDescent="0.3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row>
    <row r="8" spans="1:22"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row>
    <row r="9" spans="1:22"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row>
    <row r="10" spans="1:22"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row>
    <row r="11" spans="1:22" x14ac:dyDescent="0.3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1">
        <f>'Student loans'!W11</f>
        <v>2.0815079999999999</v>
      </c>
      <c r="Q11" s="71">
        <f>'Student loans'!X11</f>
        <v>2.1006180000000003</v>
      </c>
      <c r="R11" s="71">
        <f>'Student loans'!Y11</f>
        <v>2.5815300000000003</v>
      </c>
      <c r="S11" s="71">
        <f>'Student loans'!Z11</f>
        <v>2.6040450000000002</v>
      </c>
      <c r="T11" s="71">
        <f>'Student loans'!AA11</f>
        <v>-8.3735350000000004</v>
      </c>
      <c r="U11" s="71">
        <f>'Student loans'!AB11</f>
        <v>-8.3501650000000005</v>
      </c>
      <c r="V11" s="71">
        <f>'Student loans'!AC11</f>
        <v>-8.3545580000000008</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B18" sqref="B18"/>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763</v>
      </c>
      <c r="D1" s="78" t="s">
        <v>764</v>
      </c>
      <c r="E1" s="78" t="s">
        <v>765</v>
      </c>
      <c r="F1" s="78" t="s">
        <v>1898</v>
      </c>
      <c r="G1" s="78" t="s">
        <v>1152</v>
      </c>
      <c r="H1" s="78" t="s">
        <v>1153</v>
      </c>
      <c r="I1" s="78" t="s">
        <v>1154</v>
      </c>
      <c r="J1" s="78" t="s">
        <v>1155</v>
      </c>
    </row>
    <row r="2" spans="1:10" x14ac:dyDescent="0.35">
      <c r="A2" s="77" t="s">
        <v>1700</v>
      </c>
      <c r="B2" t="s">
        <v>1718</v>
      </c>
      <c r="C2" s="76">
        <f>Deflators!AD23</f>
        <v>4.2191321221234368E-3</v>
      </c>
      <c r="D2" s="76">
        <f>Deflators!AE23</f>
        <v>5.9160265843611892E-3</v>
      </c>
      <c r="E2" s="76">
        <f>Deflators!AF23</f>
        <v>5.4580007617439641E-3</v>
      </c>
      <c r="F2" s="76">
        <f>Deflators!AG23</f>
        <v>5.3246047022768028E-3</v>
      </c>
      <c r="G2" s="76">
        <f>Deflators!AH23</f>
        <v>5.0560151008076648E-3</v>
      </c>
      <c r="H2" s="76">
        <f>Deflators!AI23</f>
        <v>5.0400673136283825E-3</v>
      </c>
      <c r="I2" s="76">
        <f>Deflators!AJ23</f>
        <v>5.0641944009628403E-3</v>
      </c>
      <c r="J2" s="76">
        <f>Deflators!AK23</f>
        <v>5.0315604958042215E-3</v>
      </c>
    </row>
    <row r="3" spans="1:10" x14ac:dyDescent="0.35">
      <c r="A3" s="67" t="s">
        <v>1714</v>
      </c>
      <c r="B3" t="s">
        <v>1719</v>
      </c>
      <c r="C3" s="76">
        <f>Deflators!AD24</f>
        <v>3.8032220794554927E-3</v>
      </c>
      <c r="D3" s="76">
        <f>Deflators!AE24</f>
        <v>3.6622499009297815E-3</v>
      </c>
      <c r="E3" s="76">
        <f>Deflators!AF24</f>
        <v>3.7586565053258081E-3</v>
      </c>
      <c r="F3" s="76">
        <f>Deflators!AG24</f>
        <v>5.3360385557714718E-3</v>
      </c>
      <c r="G3" s="76">
        <f>Deflators!AH24</f>
        <v>5.6496540320822852E-3</v>
      </c>
      <c r="H3" s="76">
        <f>Deflators!AI24</f>
        <v>5.7657657657657069E-3</v>
      </c>
      <c r="I3" s="76">
        <f>Deflators!AJ24</f>
        <v>5.9196503336531592E-3</v>
      </c>
      <c r="J3" s="76">
        <f>Deflators!AK24</f>
        <v>5.5566525119521426E-3</v>
      </c>
    </row>
    <row r="4" spans="1:10" x14ac:dyDescent="0.35">
      <c r="A4" s="67" t="s">
        <v>1715</v>
      </c>
      <c r="B4" t="s">
        <v>1720</v>
      </c>
      <c r="C4" s="76">
        <f>Deflators!AD25</f>
        <v>7.076115293487284E-3</v>
      </c>
      <c r="D4" s="76">
        <f>Deflators!AE25</f>
        <v>7.7455120761196206E-3</v>
      </c>
      <c r="E4" s="76">
        <f>Deflators!AF25</f>
        <v>8.0020266414988495E-3</v>
      </c>
      <c r="F4" s="76">
        <f>Deflators!AG25</f>
        <v>8.189994905591913E-3</v>
      </c>
      <c r="G4" s="76">
        <f>Deflators!AH25</f>
        <v>7.7655046872424638E-3</v>
      </c>
      <c r="H4" s="76">
        <f>Deflators!AI25</f>
        <v>7.6646909789201967E-3</v>
      </c>
      <c r="I4" s="76">
        <f>Deflators!AJ25</f>
        <v>7.6652640346144274E-3</v>
      </c>
      <c r="J4" s="76">
        <f>Deflators!AK25</f>
        <v>7.549640626419496E-3</v>
      </c>
    </row>
    <row r="5" spans="1:10" x14ac:dyDescent="0.35">
      <c r="A5" s="67" t="s">
        <v>1716</v>
      </c>
      <c r="B5" t="s">
        <v>1721</v>
      </c>
      <c r="C5" s="76">
        <f>Deflators!AD26</f>
        <v>7.076115293487284E-3</v>
      </c>
      <c r="D5" s="76">
        <f>Deflators!AE26</f>
        <v>7.7455120761196206E-3</v>
      </c>
      <c r="E5" s="76">
        <f>Deflators!AF26</f>
        <v>8.0020266414988495E-3</v>
      </c>
      <c r="F5" s="76">
        <f>Deflators!AG26</f>
        <v>8.189994905591913E-3</v>
      </c>
      <c r="G5" s="76">
        <f>Deflators!AH26</f>
        <v>7.7655046872424638E-3</v>
      </c>
      <c r="H5" s="76">
        <f>Deflators!AI26</f>
        <v>7.6646909789201967E-3</v>
      </c>
      <c r="I5" s="76">
        <f>Deflators!AJ26</f>
        <v>7.6652640346144274E-3</v>
      </c>
      <c r="J5" s="76">
        <f>Deflators!AK26</f>
        <v>7.549640626419496E-3</v>
      </c>
    </row>
    <row r="6" spans="1:10" x14ac:dyDescent="0.35">
      <c r="A6" s="56" t="s">
        <v>1717</v>
      </c>
      <c r="B6" t="s">
        <v>1722</v>
      </c>
      <c r="C6" s="76">
        <f>Deflators!AD27</f>
        <v>7.076115293487284E-3</v>
      </c>
      <c r="D6" s="76">
        <f>Deflators!AE27</f>
        <v>7.7455120761196206E-3</v>
      </c>
      <c r="E6" s="76">
        <f>Deflators!AF27</f>
        <v>8.0020266414988495E-3</v>
      </c>
      <c r="F6" s="76">
        <f>Deflators!AG27</f>
        <v>8.189994905591913E-3</v>
      </c>
      <c r="G6" s="76">
        <f>Deflators!AH27</f>
        <v>7.7655046872424638E-3</v>
      </c>
      <c r="H6" s="76">
        <f>Deflators!AI27</f>
        <v>7.6646909789201967E-3</v>
      </c>
      <c r="I6" s="76">
        <f>Deflators!AJ27</f>
        <v>7.6652640346144274E-3</v>
      </c>
      <c r="J6" s="76">
        <f>Deflators!AK27</f>
        <v>7.549640626419496E-3</v>
      </c>
    </row>
  </sheetData>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29"/>
  <sheetViews>
    <sheetView tabSelected="1" topLeftCell="A64" zoomScaleNormal="100" workbookViewId="0">
      <selection activeCell="N73" sqref="N73"/>
    </sheetView>
  </sheetViews>
  <sheetFormatPr defaultColWidth="10.90625" defaultRowHeight="14.5" x14ac:dyDescent="0.35"/>
  <cols>
    <col min="2" max="2" width="39.453125" customWidth="1"/>
    <col min="3" max="3" width="20.1796875" customWidth="1"/>
    <col min="5" max="5" width="12.453125" customWidth="1"/>
  </cols>
  <sheetData>
    <row r="2" spans="2:12" x14ac:dyDescent="0.35">
      <c r="B2" s="1322" t="s">
        <v>2325</v>
      </c>
      <c r="C2" s="1322"/>
      <c r="D2" s="1322"/>
      <c r="E2" s="1322"/>
      <c r="F2" s="1322"/>
      <c r="G2" s="1322"/>
      <c r="H2" s="1322"/>
      <c r="I2" s="1322"/>
      <c r="J2" s="1322"/>
      <c r="K2" s="1322"/>
      <c r="L2" s="1322"/>
    </row>
    <row r="3" spans="2:12" x14ac:dyDescent="0.35">
      <c r="B3" t="str">
        <f>forecast!A1</f>
        <v>name</v>
      </c>
      <c r="C3" t="str">
        <f>forecast!B1</f>
        <v>variable</v>
      </c>
      <c r="D3" t="s">
        <v>177</v>
      </c>
      <c r="E3" t="s">
        <v>763</v>
      </c>
      <c r="F3" t="s">
        <v>764</v>
      </c>
      <c r="G3" t="s">
        <v>765</v>
      </c>
      <c r="H3" t="s">
        <v>1151</v>
      </c>
      <c r="I3" t="s">
        <v>1152</v>
      </c>
      <c r="J3" t="s">
        <v>1153</v>
      </c>
      <c r="K3" t="s">
        <v>1154</v>
      </c>
      <c r="L3" t="s">
        <v>1155</v>
      </c>
    </row>
    <row r="4" spans="2:12" x14ac:dyDescent="0.35">
      <c r="B4" t="str">
        <f>forecast!A2</f>
        <v>Consumption Grants</v>
      </c>
      <c r="C4" t="str">
        <f>forecast!B2</f>
        <v>consumption_grants</v>
      </c>
      <c r="D4" s="80">
        <f>forecast!C2</f>
        <v>424.55499699999996</v>
      </c>
      <c r="E4" s="80">
        <f>forecast!D2</f>
        <v>420.04109870414106</v>
      </c>
      <c r="F4" s="80">
        <f>forecast!E2</f>
        <v>422.7303328673143</v>
      </c>
      <c r="G4" s="80">
        <f>forecast!F2</f>
        <v>421.56036623063881</v>
      </c>
      <c r="H4" s="80">
        <f>forecast!G2</f>
        <v>424.42899879999999</v>
      </c>
      <c r="I4" s="80">
        <f>forecast!H2</f>
        <v>424.52289717230673</v>
      </c>
      <c r="J4" s="80">
        <f>forecast!I2</f>
        <v>428.44833986200683</v>
      </c>
      <c r="K4" s="80">
        <f>forecast!J2</f>
        <v>430.40260812786426</v>
      </c>
      <c r="L4" s="80">
        <f>forecast!K2</f>
        <v>433.38598599999989</v>
      </c>
    </row>
    <row r="5" spans="2:12" x14ac:dyDescent="0.35">
      <c r="B5" t="str">
        <f>forecast!A3</f>
        <v>Investment Grants</v>
      </c>
      <c r="C5" t="str">
        <f>forecast!B3</f>
        <v>investment_grants</v>
      </c>
      <c r="D5" s="80">
        <f>forecast!C3</f>
        <v>79.275000000000006</v>
      </c>
      <c r="E5" s="80">
        <f>forecast!D3</f>
        <v>75.203000000000003</v>
      </c>
      <c r="F5" s="80">
        <f>forecast!E3</f>
        <v>75.203000000000003</v>
      </c>
      <c r="G5" s="80">
        <f>forecast!F3</f>
        <v>75.203000000000003</v>
      </c>
      <c r="H5" s="80">
        <f>forecast!G3</f>
        <v>75.203000000000003</v>
      </c>
      <c r="I5" s="80">
        <f>forecast!H3</f>
        <v>75.203000000000003</v>
      </c>
      <c r="J5" s="80">
        <f>forecast!I3</f>
        <v>75.203000000000003</v>
      </c>
      <c r="K5" s="80">
        <f>forecast!J3</f>
        <v>75.203000000000003</v>
      </c>
      <c r="L5" s="80">
        <f>forecast!K3</f>
        <v>75.203000000000003</v>
      </c>
    </row>
    <row r="6" spans="2:12" x14ac:dyDescent="0.35">
      <c r="B6" t="str">
        <f>forecast!A4</f>
        <v>Federal Purchases (NIPA Consistent)</v>
      </c>
      <c r="C6" t="str">
        <f>forecast!B4</f>
        <v>federal_purchases</v>
      </c>
      <c r="D6" s="80">
        <f>forecast!C4</f>
        <v>1928.4</v>
      </c>
      <c r="E6" s="80">
        <f>forecast!D4</f>
        <v>1930.497842632933</v>
      </c>
      <c r="F6" s="80">
        <f>forecast!E4</f>
        <v>1936.1487693585325</v>
      </c>
      <c r="G6" s="80">
        <f>forecast!F4</f>
        <v>1964.807040609787</v>
      </c>
      <c r="H6" s="80">
        <f>forecast!G4</f>
        <v>2000.1253326447838</v>
      </c>
      <c r="I6" s="80">
        <f>forecast!H4</f>
        <v>2015.6653811401827</v>
      </c>
      <c r="J6" s="80">
        <f>forecast!I4</f>
        <v>2033.0217989402386</v>
      </c>
      <c r="K6" s="80">
        <f>forecast!J4</f>
        <v>2043.3145583332951</v>
      </c>
      <c r="L6" s="80">
        <f>forecast!K4</f>
        <v>2053.0018612914655</v>
      </c>
    </row>
    <row r="7" spans="2:12" x14ac:dyDescent="0.35">
      <c r="B7" t="str">
        <f>forecast!A5</f>
        <v>State Purchases (NIPA Consistent)</v>
      </c>
      <c r="C7" t="str">
        <f>forecast!B5</f>
        <v>state_purchases</v>
      </c>
      <c r="D7" s="80">
        <f>forecast!C5</f>
        <v>3221.5</v>
      </c>
      <c r="E7" s="80">
        <f>forecast!D5</f>
        <v>3247.8961419107918</v>
      </c>
      <c r="F7" s="80">
        <f>forecast!E5</f>
        <v>3277.5785161257559</v>
      </c>
      <c r="G7" s="80">
        <f>forecast!F5</f>
        <v>3308.3690390594757</v>
      </c>
      <c r="H7" s="80">
        <f>forecast!G5</f>
        <v>3340.0357382897141</v>
      </c>
      <c r="I7" s="80">
        <f>forecast!H5</f>
        <v>3369.560318097866</v>
      </c>
      <c r="J7" s="80">
        <f>forecast!I5</f>
        <v>3399.6412033311449</v>
      </c>
      <c r="K7" s="80">
        <f>forecast!J5</f>
        <v>3428.9971379847207</v>
      </c>
      <c r="L7" s="80">
        <f>forecast!K5</f>
        <v>3457.7123149527179</v>
      </c>
    </row>
    <row r="8" spans="2:12" x14ac:dyDescent="0.35">
      <c r="B8" t="str">
        <f>forecast!A6</f>
        <v>Non-ARP Subsidies + ARP Provider Relief and PPP</v>
      </c>
      <c r="C8" t="str">
        <f>forecast!B6</f>
        <v>federal_subsidies</v>
      </c>
      <c r="D8" s="80">
        <f>forecast!C6</f>
        <v>105.00099999999999</v>
      </c>
      <c r="E8" s="80">
        <f>forecast!D6</f>
        <v>96.978999999999999</v>
      </c>
      <c r="F8" s="80">
        <f>forecast!E6</f>
        <v>96.978999999999999</v>
      </c>
      <c r="G8" s="80">
        <f>forecast!F6</f>
        <v>101.318</v>
      </c>
      <c r="H8" s="80">
        <f>forecast!G6</f>
        <v>99.167999999999992</v>
      </c>
      <c r="I8" s="80">
        <f>forecast!H6</f>
        <v>99.167999999999992</v>
      </c>
      <c r="J8" s="80">
        <f>forecast!I6</f>
        <v>99.167999999999992</v>
      </c>
      <c r="K8" s="80">
        <f>forecast!J6</f>
        <v>99.167999999999992</v>
      </c>
      <c r="L8" s="80">
        <f>forecast!K6</f>
        <v>99.167999999999992</v>
      </c>
    </row>
    <row r="9" spans="2:12" x14ac:dyDescent="0.35">
      <c r="B9" t="str">
        <f>forecast!A7</f>
        <v>ARP Subsidies less Provider Relief and PPP</v>
      </c>
      <c r="C9" t="str">
        <f>forecast!B7</f>
        <v>federal_aid_to_small_businesses_arp</v>
      </c>
      <c r="D9" s="80">
        <f>forecast!C7</f>
        <v>-0.90100000000000025</v>
      </c>
      <c r="E9" s="80">
        <f>forecast!D7</f>
        <v>-0.90100000000000025</v>
      </c>
      <c r="F9" s="80">
        <f>forecast!E7</f>
        <v>-0.90100000000000025</v>
      </c>
      <c r="G9" s="80">
        <f>forecast!F7</f>
        <v>-2.1500000000000004</v>
      </c>
      <c r="H9" s="80">
        <f>forecast!G7</f>
        <v>0</v>
      </c>
      <c r="I9" s="80">
        <f>forecast!H7</f>
        <v>0</v>
      </c>
      <c r="J9" s="80">
        <f>forecast!I7</f>
        <v>0</v>
      </c>
      <c r="K9" s="80">
        <f>forecast!J7</f>
        <v>0</v>
      </c>
      <c r="L9" s="80">
        <f>forecast!K7</f>
        <v>0</v>
      </c>
    </row>
    <row r="10" spans="2:12" x14ac:dyDescent="0.35">
      <c r="B10" t="str">
        <f>forecast!A8</f>
        <v>Federal UI</v>
      </c>
      <c r="C10" t="str">
        <f>forecast!B8</f>
        <v>federal_ui</v>
      </c>
      <c r="D10" s="80">
        <f>forecast!C8</f>
        <v>9.9999999999994316E-2</v>
      </c>
      <c r="E10" s="80">
        <f>forecast!D8</f>
        <v>0</v>
      </c>
      <c r="F10" s="80">
        <f>forecast!E8</f>
        <v>0</v>
      </c>
      <c r="G10" s="80">
        <f>forecast!F8</f>
        <v>0</v>
      </c>
      <c r="H10" s="80">
        <f>forecast!G8</f>
        <v>0</v>
      </c>
      <c r="I10" s="80">
        <f>forecast!H8</f>
        <v>0</v>
      </c>
      <c r="J10" s="80">
        <f>forecast!I8</f>
        <v>0</v>
      </c>
      <c r="K10" s="80">
        <f>forecast!J8</f>
        <v>0</v>
      </c>
      <c r="L10" s="80">
        <f>forecast!K8</f>
        <v>0</v>
      </c>
    </row>
    <row r="11" spans="2:12"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35.700000000000003</v>
      </c>
      <c r="K11" s="80">
        <f>forecast!J9</f>
        <v>35.700000000000003</v>
      </c>
      <c r="L11" s="80">
        <f>forecast!K9</f>
        <v>36.700000000000003</v>
      </c>
    </row>
    <row r="12" spans="2:12" x14ac:dyDescent="0.35">
      <c r="B12" t="str">
        <f>forecast!A10</f>
        <v>Federal Medicaid</v>
      </c>
      <c r="C12" t="str">
        <f>forecast!B10</f>
        <v>medicaid_grants</v>
      </c>
      <c r="D12" s="80">
        <f>forecast!C10</f>
        <v>647.03</v>
      </c>
      <c r="E12" s="80">
        <f>forecast!D10</f>
        <v>662.85171975523019</v>
      </c>
      <c r="F12" s="80">
        <f>forecast!E10</f>
        <v>675.38514519906857</v>
      </c>
      <c r="G12" s="80">
        <f>forecast!F10</f>
        <v>685.00561720826681</v>
      </c>
      <c r="H12" s="80">
        <f>forecast!G10</f>
        <v>693.18074004264645</v>
      </c>
      <c r="I12" s="80">
        <f>forecast!H10</f>
        <v>706.01130629002489</v>
      </c>
      <c r="J12" s="80">
        <f>forecast!I10</f>
        <v>716.75448248277462</v>
      </c>
      <c r="K12" s="80">
        <f>forecast!J10</f>
        <v>714.81795800385646</v>
      </c>
      <c r="L12" s="80">
        <f>forecast!K10</f>
        <v>725.48341006932242</v>
      </c>
    </row>
    <row r="13" spans="2:12" x14ac:dyDescent="0.35">
      <c r="B13" t="str">
        <f>forecast!A11</f>
        <v>Total Medicaid</v>
      </c>
      <c r="C13" t="str">
        <f>forecast!B11</f>
        <v>medicaid</v>
      </c>
      <c r="D13" s="80">
        <f>forecast!C11</f>
        <v>957.6</v>
      </c>
      <c r="E13" s="80">
        <f>forecast!D11</f>
        <v>969.02169234293717</v>
      </c>
      <c r="F13" s="80">
        <f>forecast!E11</f>
        <v>985.63925302097391</v>
      </c>
      <c r="G13" s="80">
        <f>forecast!F11</f>
        <v>1000.5924493152195</v>
      </c>
      <c r="H13" s="80">
        <f>forecast!G11</f>
        <v>1015.8181842069388</v>
      </c>
      <c r="I13" s="80">
        <f>forecast!H11</f>
        <v>1031.2756048395925</v>
      </c>
      <c r="J13" s="80">
        <f>forecast!I11</f>
        <v>1046.9682367101718</v>
      </c>
      <c r="K13" s="80">
        <f>forecast!J11</f>
        <v>1044.1395419917014</v>
      </c>
      <c r="L13" s="80">
        <f>forecast!K11</f>
        <v>1059.7186416912505</v>
      </c>
    </row>
    <row r="14" spans="2:12" x14ac:dyDescent="0.35">
      <c r="B14" t="str">
        <f>forecast!A12</f>
        <v>Medicare</v>
      </c>
      <c r="C14" t="str">
        <f>forecast!B12</f>
        <v>medicare</v>
      </c>
      <c r="D14" s="80">
        <f>forecast!C12</f>
        <v>1150.3</v>
      </c>
      <c r="E14" s="80">
        <f>forecast!D12</f>
        <v>1179.9491604763948</v>
      </c>
      <c r="F14" s="80">
        <f>forecast!E12</f>
        <v>1194.9759053306122</v>
      </c>
      <c r="G14" s="80">
        <f>forecast!F12</f>
        <v>1212.8587157717825</v>
      </c>
      <c r="H14" s="80">
        <f>forecast!G12</f>
        <v>1231.0091424116126</v>
      </c>
      <c r="I14" s="80">
        <f>forecast!H12</f>
        <v>1249.431190125624</v>
      </c>
      <c r="J14" s="80">
        <f>forecast!I12</f>
        <v>1268.1289237222863</v>
      </c>
      <c r="K14" s="80">
        <f>forecast!J12</f>
        <v>1287.2701699300753</v>
      </c>
      <c r="L14" s="80">
        <f>forecast!K12</f>
        <v>1306.7003357418046</v>
      </c>
    </row>
    <row r="15" spans="2:12"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c r="K15" s="80">
        <f>forecast!J13</f>
        <v>0</v>
      </c>
      <c r="L15" s="80">
        <f>forecast!K13</f>
        <v>0</v>
      </c>
    </row>
    <row r="16" spans="2:12"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c r="K16" s="80">
        <f>forecast!J14</f>
        <v>0</v>
      </c>
      <c r="L16" s="80">
        <f>forecast!K14</f>
        <v>0</v>
      </c>
    </row>
    <row r="17" spans="2:12" x14ac:dyDescent="0.35">
      <c r="B17" t="str">
        <f>forecast!A15</f>
        <v>ARP Other Vulnerable</v>
      </c>
      <c r="C17" t="str">
        <f>forecast!B15</f>
        <v>federal_other_vulnerable_arp</v>
      </c>
      <c r="D17" s="80">
        <f>forecast!C15</f>
        <v>2.3719999999999999</v>
      </c>
      <c r="E17" s="80">
        <f>forecast!D15</f>
        <v>2.3719999999999999</v>
      </c>
      <c r="F17" s="80">
        <f>forecast!E15</f>
        <v>2.3719999999999999</v>
      </c>
      <c r="G17" s="80">
        <f>forecast!F15</f>
        <v>0.49</v>
      </c>
      <c r="H17" s="80">
        <f>forecast!G15</f>
        <v>0</v>
      </c>
      <c r="I17" s="80">
        <f>forecast!H15</f>
        <v>0</v>
      </c>
      <c r="J17" s="80">
        <f>forecast!I15</f>
        <v>0</v>
      </c>
      <c r="K17" s="80">
        <f>forecast!J15</f>
        <v>0</v>
      </c>
      <c r="L17" s="80">
        <f>forecast!K15</f>
        <v>0</v>
      </c>
    </row>
    <row r="18" spans="2:12" x14ac:dyDescent="0.35">
      <c r="B18" t="str">
        <f>forecast!A16</f>
        <v xml:space="preserve">ARP Other Direct Aid plus Provider Relief </v>
      </c>
      <c r="C18" t="str">
        <f>forecast!B16</f>
        <v>federal_other_direct_aid_arp</v>
      </c>
      <c r="D18" s="80">
        <f>forecast!C16</f>
        <v>1.63</v>
      </c>
      <c r="E18" s="80">
        <f>forecast!D16</f>
        <v>1.63</v>
      </c>
      <c r="F18" s="80">
        <f>forecast!E16</f>
        <v>1.63</v>
      </c>
      <c r="G18" s="80">
        <f>forecast!F16</f>
        <v>1.671</v>
      </c>
      <c r="H18" s="80">
        <f>forecast!G16</f>
        <v>0</v>
      </c>
      <c r="I18" s="80">
        <f>forecast!H16</f>
        <v>0</v>
      </c>
      <c r="J18" s="80">
        <f>forecast!I16</f>
        <v>0</v>
      </c>
      <c r="K18" s="80">
        <f>forecast!J16</f>
        <v>0</v>
      </c>
      <c r="L18" s="80">
        <f>forecast!K16</f>
        <v>0</v>
      </c>
    </row>
    <row r="19" spans="2:12" x14ac:dyDescent="0.35">
      <c r="B19" t="str">
        <f>forecast!A17</f>
        <v>Other Federal Social Benefits (including all SNAP)</v>
      </c>
      <c r="C19" t="str">
        <f>forecast!B17</f>
        <v>federal_social_benefits</v>
      </c>
      <c r="D19" s="80">
        <f>forecast!C17</f>
        <v>2262.2980000000002</v>
      </c>
      <c r="E19" s="80">
        <f>forecast!D17</f>
        <v>2268.998</v>
      </c>
      <c r="F19" s="80">
        <f>forecast!E17</f>
        <v>2275.6980000000003</v>
      </c>
      <c r="G19" s="80">
        <f>forecast!F17</f>
        <v>2258.1980000000003</v>
      </c>
      <c r="H19" s="80">
        <f>forecast!G17</f>
        <v>2303.4551905010003</v>
      </c>
      <c r="I19" s="80">
        <f>forecast!H17</f>
        <v>2309.427190501</v>
      </c>
      <c r="J19" s="80">
        <f>forecast!I17</f>
        <v>2317.1271905010003</v>
      </c>
      <c r="K19" s="80">
        <f>forecast!J17</f>
        <v>2316.6721905010004</v>
      </c>
      <c r="L19" s="80">
        <f>forecast!K17</f>
        <v>2365.2440593835236</v>
      </c>
    </row>
    <row r="20" spans="2:12" x14ac:dyDescent="0.35">
      <c r="B20" t="str">
        <f>forecast!A18</f>
        <v>State Social Benefits ex Medicaid</v>
      </c>
      <c r="C20" t="str">
        <f>forecast!B18</f>
        <v>state_social_benefits</v>
      </c>
      <c r="D20" s="80">
        <f>forecast!C18</f>
        <v>228.02904740969223</v>
      </c>
      <c r="E20" s="80">
        <f>forecast!D18</f>
        <v>231.36246347492295</v>
      </c>
      <c r="F20" s="80">
        <f>forecast!E18</f>
        <v>234.7446086945757</v>
      </c>
      <c r="G20" s="80">
        <f>forecast!F18</f>
        <v>238.17619541011769</v>
      </c>
      <c r="H20" s="80">
        <f>forecast!G18</f>
        <v>241.65794637629688</v>
      </c>
      <c r="I20" s="80">
        <f>forecast!H18</f>
        <v>245.19059491336728</v>
      </c>
      <c r="J20" s="80">
        <f>forecast!I18</f>
        <v>248.77488506153966</v>
      </c>
      <c r="K20" s="80">
        <f>forecast!J18</f>
        <v>252.41157173768991</v>
      </c>
      <c r="L20" s="80">
        <f>forecast!K18</f>
        <v>256.10142089435828</v>
      </c>
    </row>
    <row r="21" spans="2:12" x14ac:dyDescent="0.35">
      <c r="B21" t="str">
        <f>forecast!A19</f>
        <v>Federal Non-Corporate Taxes</v>
      </c>
      <c r="C21" t="str">
        <f>forecast!B19</f>
        <v>federal_non_corporate_taxes</v>
      </c>
      <c r="D21" s="80">
        <f>forecast!C19</f>
        <v>4640.7</v>
      </c>
      <c r="E21" s="80">
        <f>forecast!D19</f>
        <v>4709.8180616202872</v>
      </c>
      <c r="F21" s="80">
        <f>forecast!E19</f>
        <v>4733.3914661386643</v>
      </c>
      <c r="G21" s="80">
        <f>forecast!F19</f>
        <v>4757.1843093197967</v>
      </c>
      <c r="H21" s="80">
        <f>forecast!G19</f>
        <v>4730.7466044573812</v>
      </c>
      <c r="I21" s="80">
        <f>forecast!H19</f>
        <v>4763.1925237450323</v>
      </c>
      <c r="J21" s="80">
        <f>forecast!I19</f>
        <v>4796.0143109262117</v>
      </c>
      <c r="K21" s="80">
        <f>forecast!J19</f>
        <v>4829.2143547518372</v>
      </c>
      <c r="L21" s="80">
        <f>forecast!K19</f>
        <v>4959.971965252872</v>
      </c>
    </row>
    <row r="22" spans="2:12" x14ac:dyDescent="0.35">
      <c r="B22" t="str">
        <f>forecast!A20</f>
        <v>State Non-Corporate Taxes</v>
      </c>
      <c r="C22" t="str">
        <f>forecast!B20</f>
        <v>state_non_corporate_taxes</v>
      </c>
      <c r="D22" s="80">
        <f>forecast!C20</f>
        <v>2550.5</v>
      </c>
      <c r="E22" s="80">
        <f>forecast!D20</f>
        <v>2571.0688033993706</v>
      </c>
      <c r="F22" s="80">
        <f>forecast!E20</f>
        <v>2598.178261360134</v>
      </c>
      <c r="G22" s="80">
        <f>forecast!F20</f>
        <v>2624.8819972445235</v>
      </c>
      <c r="H22" s="80">
        <f>forecast!G20</f>
        <v>2649.4405312925719</v>
      </c>
      <c r="I22" s="80">
        <f>forecast!H20</f>
        <v>2674.9894129442418</v>
      </c>
      <c r="J22" s="80">
        <f>forecast!I20</f>
        <v>2698.3122414077561</v>
      </c>
      <c r="K22" s="80">
        <f>forecast!J20</f>
        <v>2723.5733367491875</v>
      </c>
      <c r="L22" s="80">
        <f>forecast!K20</f>
        <v>2750.2680865633192</v>
      </c>
    </row>
    <row r="23" spans="2:12" x14ac:dyDescent="0.35">
      <c r="B23" t="str">
        <f>forecast!A21</f>
        <v>Federal Corporate Taxes</v>
      </c>
      <c r="C23" t="str">
        <f>forecast!B21</f>
        <v>federal_corporate_taxes</v>
      </c>
      <c r="D23" s="80">
        <f>forecast!C21</f>
        <v>519.79999999999995</v>
      </c>
      <c r="E23" s="80">
        <f>forecast!D21</f>
        <v>536.91171391464616</v>
      </c>
      <c r="F23" s="80">
        <f>forecast!E21</f>
        <v>154.58674209073274</v>
      </c>
      <c r="G23" s="80">
        <f>forecast!F21</f>
        <v>153.63157001132998</v>
      </c>
      <c r="H23" s="80">
        <f>forecast!G21</f>
        <v>410.98229982033581</v>
      </c>
      <c r="I23" s="80">
        <f>forecast!H21</f>
        <v>408.44289176626921</v>
      </c>
      <c r="J23" s="80">
        <f>forecast!I21</f>
        <v>405.91917439588383</v>
      </c>
      <c r="K23" s="80">
        <f>forecast!J21</f>
        <v>403.41105075841432</v>
      </c>
      <c r="L23" s="80">
        <f>forecast!K21</f>
        <v>412.61842450214192</v>
      </c>
    </row>
    <row r="24" spans="2:12" x14ac:dyDescent="0.35">
      <c r="B24" t="str">
        <f>forecast!A22</f>
        <v>State Corporate Taxes</v>
      </c>
      <c r="C24" s="56" t="str">
        <f>forecast!B22</f>
        <v>state_corporate_taxes</v>
      </c>
      <c r="D24" s="80">
        <f>forecast!C22</f>
        <v>174.7</v>
      </c>
      <c r="E24" s="80">
        <f>forecast!D22</f>
        <v>172.29451851420589</v>
      </c>
      <c r="F24" s="80">
        <f>forecast!E22</f>
        <v>172.4420004657662</v>
      </c>
      <c r="G24" s="80">
        <f>forecast!F22</f>
        <v>172.35554552864465</v>
      </c>
      <c r="H24" s="80">
        <f>forecast!G22</f>
        <v>172.5640544946437</v>
      </c>
      <c r="I24" s="80">
        <f>forecast!H22</f>
        <v>172.90478865859339</v>
      </c>
      <c r="J24" s="80">
        <f>forecast!I22</f>
        <v>172.73187878435027</v>
      </c>
      <c r="K24" s="80">
        <f>forecast!J22</f>
        <v>172.94038775034934</v>
      </c>
      <c r="L24" s="80">
        <f>forecast!K22</f>
        <v>172.60982475547277</v>
      </c>
    </row>
    <row r="25" spans="2:12" x14ac:dyDescent="0.35">
      <c r="B25" s="56" t="str">
        <f>forecast!A23</f>
        <v>Federal Student Loans</v>
      </c>
      <c r="C25" s="56" t="str">
        <f>forecast!B23</f>
        <v>federal_student_loans</v>
      </c>
      <c r="D25" s="80">
        <f>forecast!C23</f>
        <v>-8.3545580000000008</v>
      </c>
      <c r="E25" s="80">
        <f>forecast!D23</f>
        <v>-8.3304000000000009</v>
      </c>
      <c r="F25" s="80">
        <f>forecast!E23</f>
        <v>-8.3069939999999995</v>
      </c>
      <c r="G25" s="80">
        <f>forecast!F23</f>
        <v>-8.2824600000000004</v>
      </c>
      <c r="H25" s="80">
        <f>forecast!G23</f>
        <v>-8.2824600000000004</v>
      </c>
      <c r="I25" s="80">
        <f>forecast!H23</f>
        <v>-8.2824600000000004</v>
      </c>
      <c r="J25" s="80">
        <f>forecast!I23</f>
        <v>-11</v>
      </c>
      <c r="K25" s="80">
        <f>forecast!J23</f>
        <v>-11</v>
      </c>
      <c r="L25" s="80">
        <f>forecast!K23</f>
        <v>-11</v>
      </c>
    </row>
    <row r="26" spans="2:12" x14ac:dyDescent="0.35">
      <c r="B26" s="56"/>
      <c r="C26" s="56"/>
      <c r="D26" s="80"/>
      <c r="E26" s="80"/>
    </row>
    <row r="27" spans="2:12" x14ac:dyDescent="0.35">
      <c r="B27" s="69" t="s">
        <v>1888</v>
      </c>
      <c r="C27" s="56"/>
      <c r="D27" s="80"/>
      <c r="E27" s="80"/>
    </row>
    <row r="28" spans="2:12" x14ac:dyDescent="0.35">
      <c r="B28" s="56" t="s">
        <v>1702</v>
      </c>
      <c r="C28" s="56"/>
      <c r="D28" s="83">
        <f>Deflators!AC45</f>
        <v>3.6577985459982365E-2</v>
      </c>
      <c r="E28" s="83">
        <f>Deflators!AD45</f>
        <v>1.6983635680919155E-2</v>
      </c>
      <c r="F28" s="83">
        <f>Deflators!AE45</f>
        <v>2.3874932014508632E-2</v>
      </c>
      <c r="G28" s="83">
        <f>Deflators!AF45</f>
        <v>2.2011392938697361E-2</v>
      </c>
      <c r="H28" s="83">
        <f>Deflators!AG45</f>
        <v>2.1469131944638509E-2</v>
      </c>
      <c r="I28" s="83">
        <f>Deflators!AH45</f>
        <v>2.037795778240481E-2</v>
      </c>
      <c r="J28" s="83">
        <f>Deflators!AI45</f>
        <v>2.031319568771961E-2</v>
      </c>
      <c r="K28" s="83">
        <f>Deflators!AJ45</f>
        <v>2.0411174157790368E-2</v>
      </c>
      <c r="L28" s="83">
        <f>Deflators!AK45</f>
        <v>2.0278651758323107E-2</v>
      </c>
    </row>
    <row r="29" spans="2:12" x14ac:dyDescent="0.35">
      <c r="B29" s="56" t="s">
        <v>1703</v>
      </c>
      <c r="C29" s="56"/>
      <c r="D29" s="83">
        <f>Deflators!AC48</f>
        <v>5.6768969247473322E-2</v>
      </c>
      <c r="E29" s="83">
        <f>Deflators!AD48</f>
        <v>1.5299895562953081E-2</v>
      </c>
      <c r="F29" s="83">
        <f>Deflators!AE48</f>
        <v>1.4729668703095777E-2</v>
      </c>
      <c r="G29" s="83">
        <f>Deflators!AF48</f>
        <v>1.5119603614899724E-2</v>
      </c>
      <c r="H29" s="83">
        <f>Deflators!AG48</f>
        <v>2.1515602617293128E-2</v>
      </c>
      <c r="I29" s="83">
        <f>Deflators!AH48</f>
        <v>2.2790850007197161E-2</v>
      </c>
      <c r="J29" s="83">
        <f>Deflators!AI48</f>
        <v>2.3263295207157642E-2</v>
      </c>
      <c r="K29" s="83">
        <f>Deflators!AJ48</f>
        <v>2.3889685874715294E-2</v>
      </c>
      <c r="L29" s="83">
        <f>Deflators!AK48</f>
        <v>2.2412555601408091E-2</v>
      </c>
    </row>
    <row r="30" spans="2:12" x14ac:dyDescent="0.35">
      <c r="B30" s="56" t="s">
        <v>1704</v>
      </c>
      <c r="C30" s="56"/>
      <c r="D30" s="83">
        <f>Deflators!AC49</f>
        <v>3.9281195609842667E-2</v>
      </c>
      <c r="E30" s="83">
        <f>Deflators!AD49</f>
        <v>2.8606309371189242E-2</v>
      </c>
      <c r="F30" s="83">
        <f>Deflators!AE49</f>
        <v>3.1343868352262882E-2</v>
      </c>
      <c r="G30" s="83">
        <f>Deflators!AF49</f>
        <v>3.2394354805230341E-2</v>
      </c>
      <c r="H30" s="83">
        <f>Deflators!AG49</f>
        <v>3.3164637629816696E-2</v>
      </c>
      <c r="I30" s="83">
        <f>Deflators!AH49</f>
        <v>3.1425713898589613E-2</v>
      </c>
      <c r="J30" s="83">
        <f>Deflators!AI49</f>
        <v>3.1013053419121528E-2</v>
      </c>
      <c r="K30" s="83">
        <f>Deflators!AJ49</f>
        <v>3.1015398756455648E-2</v>
      </c>
      <c r="L30" s="83">
        <f>Deflators!AK49</f>
        <v>3.0542269425562596E-2</v>
      </c>
    </row>
    <row r="31" spans="2:12" x14ac:dyDescent="0.35">
      <c r="B31" s="56" t="s">
        <v>1705</v>
      </c>
      <c r="C31" s="56"/>
      <c r="D31" s="83">
        <f>Deflators!AC51</f>
        <v>4.161891556378583E-2</v>
      </c>
      <c r="E31" s="83">
        <f>Deflators!AD51</f>
        <v>2.8606309371189242E-2</v>
      </c>
      <c r="F31" s="83">
        <f>Deflators!AE51</f>
        <v>3.1343868352262882E-2</v>
      </c>
      <c r="G31" s="83">
        <f>Deflators!AF51</f>
        <v>3.2394354805230341E-2</v>
      </c>
      <c r="H31" s="83">
        <f>Deflators!AG51</f>
        <v>3.3164637629816696E-2</v>
      </c>
      <c r="I31" s="83">
        <f>Deflators!AH51</f>
        <v>3.1425713898589613E-2</v>
      </c>
      <c r="J31" s="83">
        <f>Deflators!AI51</f>
        <v>3.1013053419121528E-2</v>
      </c>
      <c r="K31" s="83">
        <f>Deflators!AJ51</f>
        <v>3.1015398756455648E-2</v>
      </c>
      <c r="L31" s="83">
        <f>Deflators!AK51</f>
        <v>3.0542269425562596E-2</v>
      </c>
    </row>
    <row r="32" spans="2:12" x14ac:dyDescent="0.35">
      <c r="B32" s="56" t="s">
        <v>1706</v>
      </c>
      <c r="C32" s="56"/>
      <c r="D32" s="83">
        <f>Deflators!AC52</f>
        <v>2.9707566513271333E-2</v>
      </c>
      <c r="E32" s="83">
        <f>Deflators!AD52</f>
        <v>2.8606309371189242E-2</v>
      </c>
      <c r="F32" s="83">
        <f>Deflators!AE52</f>
        <v>3.1343868352262882E-2</v>
      </c>
      <c r="G32" s="83">
        <f>Deflators!AF52</f>
        <v>3.2394354805230341E-2</v>
      </c>
      <c r="H32" s="83">
        <f>Deflators!AG52</f>
        <v>3.3164637629816696E-2</v>
      </c>
      <c r="I32" s="83">
        <f>Deflators!AH52</f>
        <v>3.1425713898589613E-2</v>
      </c>
      <c r="J32" s="83">
        <f>Deflators!AI52</f>
        <v>3.1013053419121528E-2</v>
      </c>
      <c r="K32" s="83">
        <f>Deflators!AJ52</f>
        <v>3.1015398756455648E-2</v>
      </c>
      <c r="L32" s="83">
        <f>Deflators!AK52</f>
        <v>3.0542269425562596E-2</v>
      </c>
    </row>
    <row r="34" spans="2:12" x14ac:dyDescent="0.35">
      <c r="B34" s="1322" t="s">
        <v>1993</v>
      </c>
      <c r="C34" s="1322"/>
      <c r="D34" s="1322"/>
      <c r="E34" s="1322"/>
      <c r="F34" s="1322"/>
      <c r="G34" s="1322"/>
      <c r="H34" s="1322"/>
      <c r="I34" s="1322"/>
      <c r="J34" s="1322"/>
      <c r="K34" s="1322"/>
      <c r="L34" s="1322"/>
    </row>
    <row r="35" spans="2:12" x14ac:dyDescent="0.35">
      <c r="B35" t="s">
        <v>178</v>
      </c>
      <c r="C35" t="s">
        <v>179</v>
      </c>
      <c r="D35" t="s">
        <v>177</v>
      </c>
      <c r="E35" t="s">
        <v>763</v>
      </c>
      <c r="F35" t="s">
        <v>764</v>
      </c>
      <c r="G35" t="s">
        <v>765</v>
      </c>
      <c r="H35" t="s">
        <v>1151</v>
      </c>
      <c r="I35" t="s">
        <v>1152</v>
      </c>
      <c r="J35" t="s">
        <v>1153</v>
      </c>
      <c r="K35" t="s">
        <v>1154</v>
      </c>
      <c r="L35" t="s">
        <v>1155</v>
      </c>
    </row>
    <row r="36" spans="2:12" x14ac:dyDescent="0.35">
      <c r="B36" t="s">
        <v>192</v>
      </c>
      <c r="C36" t="s">
        <v>193</v>
      </c>
      <c r="D36" s="80">
        <v>424.55499699999996</v>
      </c>
      <c r="E36" s="80">
        <v>420.04109870414106</v>
      </c>
      <c r="F36">
        <v>422.7303328673143</v>
      </c>
      <c r="G36">
        <v>421.56036623063881</v>
      </c>
      <c r="H36">
        <v>424.42899879999999</v>
      </c>
      <c r="I36">
        <v>424.52289717230673</v>
      </c>
      <c r="J36">
        <v>428.44833986200683</v>
      </c>
      <c r="K36">
        <v>430.40260812786426</v>
      </c>
      <c r="L36">
        <v>433.38598599999989</v>
      </c>
    </row>
    <row r="37" spans="2:12" x14ac:dyDescent="0.35">
      <c r="B37" t="s">
        <v>134</v>
      </c>
      <c r="C37" t="s">
        <v>194</v>
      </c>
      <c r="D37" s="80">
        <v>79.275000000000006</v>
      </c>
      <c r="E37" s="80">
        <v>75.203000000000003</v>
      </c>
      <c r="F37">
        <v>75.203000000000003</v>
      </c>
      <c r="G37">
        <v>75.203000000000003</v>
      </c>
      <c r="H37">
        <v>75.203000000000003</v>
      </c>
      <c r="I37">
        <v>75.203000000000003</v>
      </c>
      <c r="J37">
        <v>75.203000000000003</v>
      </c>
      <c r="K37">
        <v>75.203000000000003</v>
      </c>
      <c r="L37">
        <v>75.203000000000003</v>
      </c>
    </row>
    <row r="38" spans="2:12" x14ac:dyDescent="0.35">
      <c r="B38" t="s">
        <v>195</v>
      </c>
      <c r="C38" t="s">
        <v>196</v>
      </c>
      <c r="D38" s="80">
        <v>1928.4</v>
      </c>
      <c r="E38" s="80">
        <v>1928.1306783365903</v>
      </c>
      <c r="F38">
        <v>1933.7172121828175</v>
      </c>
      <c r="G38">
        <v>1939.5451413299459</v>
      </c>
      <c r="H38">
        <v>1949.6819498253626</v>
      </c>
      <c r="I38">
        <v>1960.197958711374</v>
      </c>
      <c r="J38">
        <v>1971.469512900489</v>
      </c>
      <c r="K38">
        <v>1981.5353699759514</v>
      </c>
      <c r="L38">
        <v>1991.2182721369284</v>
      </c>
    </row>
    <row r="39" spans="2:12" x14ac:dyDescent="0.35">
      <c r="B39" t="s">
        <v>197</v>
      </c>
      <c r="C39" t="s">
        <v>198</v>
      </c>
      <c r="D39" s="80">
        <v>3221.5</v>
      </c>
      <c r="E39" s="80">
        <v>3247.8961419107918</v>
      </c>
      <c r="F39">
        <v>3277.5785161257559</v>
      </c>
      <c r="G39">
        <v>3308.3690390594757</v>
      </c>
      <c r="H39">
        <v>3340.0357382897141</v>
      </c>
      <c r="I39">
        <v>3369.560318097866</v>
      </c>
      <c r="J39">
        <v>3399.6412033311449</v>
      </c>
      <c r="K39">
        <v>3428.9971379847207</v>
      </c>
      <c r="L39">
        <v>3457.7123149527179</v>
      </c>
    </row>
    <row r="40" spans="2:12" x14ac:dyDescent="0.35">
      <c r="B40" t="s">
        <v>199</v>
      </c>
      <c r="C40" t="s">
        <v>200</v>
      </c>
      <c r="D40" s="80">
        <v>105.00099999999999</v>
      </c>
      <c r="E40" s="80">
        <v>96.978999999999999</v>
      </c>
      <c r="F40">
        <v>96.978999999999999</v>
      </c>
      <c r="G40">
        <v>101.318</v>
      </c>
      <c r="H40">
        <v>99.167999999999992</v>
      </c>
      <c r="I40">
        <v>99.167999999999992</v>
      </c>
      <c r="J40">
        <v>99.167999999999992</v>
      </c>
      <c r="K40">
        <v>99.167999999999992</v>
      </c>
      <c r="L40">
        <v>99.167999999999992</v>
      </c>
    </row>
    <row r="41" spans="2:12" x14ac:dyDescent="0.35">
      <c r="B41" t="s">
        <v>201</v>
      </c>
      <c r="C41" t="s">
        <v>202</v>
      </c>
      <c r="D41" s="80">
        <v>-0.90100000000000025</v>
      </c>
      <c r="E41" s="80">
        <v>-0.90100000000000025</v>
      </c>
      <c r="F41">
        <v>-0.90100000000000025</v>
      </c>
      <c r="G41">
        <v>-2.1500000000000004</v>
      </c>
      <c r="H41">
        <v>0</v>
      </c>
      <c r="I41">
        <v>0</v>
      </c>
      <c r="J41">
        <v>0</v>
      </c>
      <c r="K41">
        <v>0</v>
      </c>
      <c r="L41">
        <v>0</v>
      </c>
    </row>
    <row r="42" spans="2:12" x14ac:dyDescent="0.35">
      <c r="B42" t="s">
        <v>203</v>
      </c>
      <c r="C42" t="s">
        <v>204</v>
      </c>
      <c r="D42" s="80">
        <v>9.9999999999994316E-2</v>
      </c>
      <c r="E42" s="80">
        <v>0</v>
      </c>
      <c r="F42">
        <v>0</v>
      </c>
      <c r="G42">
        <v>0</v>
      </c>
      <c r="H42">
        <v>0</v>
      </c>
      <c r="I42">
        <v>0</v>
      </c>
      <c r="J42">
        <v>0</v>
      </c>
      <c r="K42">
        <v>0</v>
      </c>
      <c r="L42">
        <v>0</v>
      </c>
    </row>
    <row r="43" spans="2:12" x14ac:dyDescent="0.35">
      <c r="B43" t="s">
        <v>205</v>
      </c>
      <c r="C43" t="s">
        <v>206</v>
      </c>
      <c r="D43" s="80">
        <v>35.700000000000003</v>
      </c>
      <c r="E43" s="80">
        <v>35.700000000000003</v>
      </c>
      <c r="F43">
        <v>35.700000000000003</v>
      </c>
      <c r="G43">
        <v>35.700000000000003</v>
      </c>
      <c r="H43">
        <v>35.700000000000003</v>
      </c>
      <c r="I43">
        <v>35.700000000000003</v>
      </c>
      <c r="J43">
        <v>35.700000000000003</v>
      </c>
      <c r="K43">
        <v>35.700000000000003</v>
      </c>
      <c r="L43">
        <v>36.700000000000003</v>
      </c>
    </row>
    <row r="44" spans="2:12" x14ac:dyDescent="0.35">
      <c r="B44" t="s">
        <v>207</v>
      </c>
      <c r="C44" t="s">
        <v>208</v>
      </c>
      <c r="D44" s="80">
        <v>647.03</v>
      </c>
      <c r="E44" s="80">
        <v>662.85171975523019</v>
      </c>
      <c r="F44">
        <v>675.38514519906857</v>
      </c>
      <c r="G44">
        <v>685.03642420945437</v>
      </c>
      <c r="H44">
        <v>693.21191470654003</v>
      </c>
      <c r="I44">
        <v>705.48981249426322</v>
      </c>
      <c r="J44">
        <v>716.23065328053303</v>
      </c>
      <c r="K44">
        <v>726.60993166721039</v>
      </c>
      <c r="L44">
        <v>737.23017166565478</v>
      </c>
    </row>
    <row r="45" spans="2:12" x14ac:dyDescent="0.35">
      <c r="B45" t="s">
        <v>209</v>
      </c>
      <c r="C45" t="s">
        <v>210</v>
      </c>
      <c r="D45" s="80">
        <v>957.6</v>
      </c>
      <c r="E45" s="80">
        <v>969.02169234293717</v>
      </c>
      <c r="F45">
        <v>985.63925302097391</v>
      </c>
      <c r="G45">
        <v>1000.6374493152194</v>
      </c>
      <c r="H45">
        <v>1015.8638689593278</v>
      </c>
      <c r="I45">
        <v>1031.3219847640555</v>
      </c>
      <c r="J45">
        <v>1047.0153223849477</v>
      </c>
      <c r="K45">
        <v>1062.6373302089942</v>
      </c>
      <c r="L45">
        <v>1078.4924264351268</v>
      </c>
    </row>
    <row r="46" spans="2:12" x14ac:dyDescent="0.35">
      <c r="B46" t="s">
        <v>55</v>
      </c>
      <c r="C46" t="s">
        <v>211</v>
      </c>
      <c r="D46" s="80">
        <v>1150.3</v>
      </c>
      <c r="E46" s="80">
        <v>1179.9491604763948</v>
      </c>
      <c r="F46">
        <v>1194.9759053306122</v>
      </c>
      <c r="G46">
        <v>1212.8587157717825</v>
      </c>
      <c r="H46">
        <v>1231.0091424116126</v>
      </c>
      <c r="I46">
        <v>1249.431190125624</v>
      </c>
      <c r="J46">
        <v>1268.1289237222863</v>
      </c>
      <c r="K46">
        <v>1287.2701699300753</v>
      </c>
      <c r="L46">
        <v>1306.7003357418046</v>
      </c>
    </row>
    <row r="47" spans="2:12" x14ac:dyDescent="0.35">
      <c r="B47" t="s">
        <v>212</v>
      </c>
      <c r="C47" t="s">
        <v>213</v>
      </c>
      <c r="D47" s="80">
        <v>0</v>
      </c>
      <c r="E47" s="80">
        <v>0</v>
      </c>
      <c r="F47">
        <v>0</v>
      </c>
      <c r="G47">
        <v>0</v>
      </c>
      <c r="H47">
        <v>0</v>
      </c>
      <c r="I47">
        <v>0</v>
      </c>
      <c r="J47">
        <v>0</v>
      </c>
      <c r="K47">
        <v>0</v>
      </c>
      <c r="L47">
        <v>0</v>
      </c>
    </row>
    <row r="48" spans="2:12" x14ac:dyDescent="0.35">
      <c r="B48" t="s">
        <v>214</v>
      </c>
      <c r="C48" t="s">
        <v>215</v>
      </c>
      <c r="D48" s="80">
        <v>0</v>
      </c>
      <c r="E48" s="80">
        <v>0</v>
      </c>
      <c r="F48">
        <v>0</v>
      </c>
      <c r="G48">
        <v>0</v>
      </c>
      <c r="H48">
        <v>0</v>
      </c>
      <c r="I48">
        <v>0</v>
      </c>
      <c r="J48">
        <v>0</v>
      </c>
      <c r="K48">
        <v>0</v>
      </c>
      <c r="L48">
        <v>0</v>
      </c>
    </row>
    <row r="49" spans="2:12" x14ac:dyDescent="0.35">
      <c r="B49" t="s">
        <v>216</v>
      </c>
      <c r="C49" t="s">
        <v>217</v>
      </c>
      <c r="D49" s="80">
        <v>2.3719999999999999</v>
      </c>
      <c r="E49" s="80">
        <v>2.3719999999999999</v>
      </c>
      <c r="F49">
        <v>2.3719999999999999</v>
      </c>
      <c r="G49">
        <v>0.49</v>
      </c>
      <c r="H49">
        <v>0</v>
      </c>
      <c r="I49">
        <v>0</v>
      </c>
      <c r="J49">
        <v>0</v>
      </c>
      <c r="K49">
        <v>0</v>
      </c>
      <c r="L49">
        <v>0</v>
      </c>
    </row>
    <row r="50" spans="2:12" x14ac:dyDescent="0.35">
      <c r="B50" t="s">
        <v>795</v>
      </c>
      <c r="C50" t="s">
        <v>219</v>
      </c>
      <c r="D50" s="80">
        <v>1.63</v>
      </c>
      <c r="E50" s="80">
        <v>1.63</v>
      </c>
      <c r="F50">
        <v>1.63</v>
      </c>
      <c r="G50">
        <v>1.671</v>
      </c>
      <c r="H50">
        <v>0</v>
      </c>
      <c r="I50">
        <v>0</v>
      </c>
      <c r="J50">
        <v>0</v>
      </c>
      <c r="K50">
        <v>0</v>
      </c>
      <c r="L50">
        <v>0</v>
      </c>
    </row>
    <row r="51" spans="2:12" x14ac:dyDescent="0.35">
      <c r="B51" t="s">
        <v>220</v>
      </c>
      <c r="C51" t="s">
        <v>221</v>
      </c>
      <c r="D51" s="80">
        <v>2262.2980000000002</v>
      </c>
      <c r="E51" s="80">
        <v>2268.998</v>
      </c>
      <c r="F51">
        <v>2275.6980000000003</v>
      </c>
      <c r="G51">
        <v>2266.1590000000001</v>
      </c>
      <c r="H51">
        <v>2311.4161905010001</v>
      </c>
      <c r="I51">
        <v>2317.3881905010003</v>
      </c>
      <c r="J51">
        <v>2325.0881905010001</v>
      </c>
      <c r="K51">
        <v>2332.7881905010004</v>
      </c>
      <c r="L51">
        <v>2381.3600593835235</v>
      </c>
    </row>
    <row r="52" spans="2:12" x14ac:dyDescent="0.35">
      <c r="B52" t="s">
        <v>222</v>
      </c>
      <c r="C52" t="s">
        <v>223</v>
      </c>
      <c r="D52" s="80">
        <v>228.02904740969223</v>
      </c>
      <c r="E52" s="80">
        <v>231.36246347492295</v>
      </c>
      <c r="F52">
        <v>234.7446086945757</v>
      </c>
      <c r="G52">
        <v>238.17619541011769</v>
      </c>
      <c r="H52">
        <v>241.65794637629688</v>
      </c>
      <c r="I52">
        <v>245.19059491336728</v>
      </c>
      <c r="J52">
        <v>248.77488506153966</v>
      </c>
      <c r="K52">
        <v>252.41157173768991</v>
      </c>
      <c r="L52">
        <v>256.10142089435828</v>
      </c>
    </row>
    <row r="53" spans="2:12" x14ac:dyDescent="0.35">
      <c r="B53" t="s">
        <v>224</v>
      </c>
      <c r="C53" t="s">
        <v>225</v>
      </c>
      <c r="D53" s="80">
        <v>4640.7</v>
      </c>
      <c r="E53" s="80">
        <v>4709.8180616202872</v>
      </c>
      <c r="F53">
        <v>4733.3914661386643</v>
      </c>
      <c r="G53">
        <v>4757.1843093197967</v>
      </c>
      <c r="H53">
        <v>4834.639980726919</v>
      </c>
      <c r="I53">
        <v>4867.6015157319034</v>
      </c>
      <c r="J53">
        <v>4900.9414775959413</v>
      </c>
      <c r="K53">
        <v>4934.6622677699179</v>
      </c>
      <c r="L53">
        <v>5102.7080342415429</v>
      </c>
    </row>
    <row r="54" spans="2:12" x14ac:dyDescent="0.35">
      <c r="B54" t="s">
        <v>226</v>
      </c>
      <c r="C54" t="s">
        <v>227</v>
      </c>
      <c r="D54" s="80">
        <v>2550.5</v>
      </c>
      <c r="E54" s="80">
        <v>2571.0688033993706</v>
      </c>
      <c r="F54">
        <v>2598.178261360134</v>
      </c>
      <c r="G54">
        <v>2624.8819972445235</v>
      </c>
      <c r="H54">
        <v>2649.4405312925719</v>
      </c>
      <c r="I54">
        <v>2674.9894129442418</v>
      </c>
      <c r="J54">
        <v>2698.3122414077561</v>
      </c>
      <c r="K54">
        <v>2723.5733367491875</v>
      </c>
      <c r="L54">
        <v>2750.2680865633192</v>
      </c>
    </row>
    <row r="55" spans="2:12" x14ac:dyDescent="0.35">
      <c r="B55" t="s">
        <v>228</v>
      </c>
      <c r="C55" t="s">
        <v>229</v>
      </c>
      <c r="D55" s="80">
        <v>519.79999999999995</v>
      </c>
      <c r="E55" s="80">
        <v>536.91171391464616</v>
      </c>
      <c r="F55">
        <v>554.58674209073274</v>
      </c>
      <c r="G55">
        <v>551.16002020962151</v>
      </c>
      <c r="H55">
        <v>547.75447161297473</v>
      </c>
      <c r="I55">
        <v>544.36996547372485</v>
      </c>
      <c r="J55">
        <v>541.00637177316833</v>
      </c>
      <c r="K55">
        <v>537.66356129597091</v>
      </c>
      <c r="L55">
        <v>534.34140562520361</v>
      </c>
    </row>
    <row r="56" spans="2:12" x14ac:dyDescent="0.35">
      <c r="B56" t="s">
        <v>230</v>
      </c>
      <c r="C56" s="56" t="s">
        <v>231</v>
      </c>
      <c r="D56" s="80">
        <v>174.7</v>
      </c>
      <c r="E56" s="80">
        <v>172.29451851420589</v>
      </c>
      <c r="F56">
        <v>172.4420004657662</v>
      </c>
      <c r="G56">
        <v>172.35554552864465</v>
      </c>
      <c r="H56">
        <v>172.5640544946437</v>
      </c>
      <c r="I56">
        <v>172.90478865859339</v>
      </c>
      <c r="J56">
        <v>172.73187878435027</v>
      </c>
      <c r="K56">
        <v>172.94038775034934</v>
      </c>
      <c r="L56">
        <v>172.60982475547277</v>
      </c>
    </row>
    <row r="57" spans="2:12" x14ac:dyDescent="0.35">
      <c r="B57" s="56" t="s">
        <v>1379</v>
      </c>
      <c r="C57" s="56" t="s">
        <v>1378</v>
      </c>
      <c r="D57" s="80">
        <v>2.6454420000000001</v>
      </c>
      <c r="E57" s="80">
        <v>2.6696</v>
      </c>
      <c r="F57">
        <v>2.693006</v>
      </c>
      <c r="G57">
        <v>2.7175400000000001</v>
      </c>
      <c r="H57">
        <v>2.7175400000000001</v>
      </c>
      <c r="I57">
        <v>2.7175400000000001</v>
      </c>
      <c r="J57">
        <v>0</v>
      </c>
      <c r="K57">
        <v>0</v>
      </c>
      <c r="L57">
        <v>0</v>
      </c>
    </row>
    <row r="58" spans="2:12" x14ac:dyDescent="0.35">
      <c r="B58" s="56"/>
      <c r="C58" s="56"/>
      <c r="D58" s="80"/>
    </row>
    <row r="59" spans="2:12" x14ac:dyDescent="0.35">
      <c r="B59" s="69" t="s">
        <v>1888</v>
      </c>
      <c r="C59" s="56"/>
    </row>
    <row r="60" spans="2:12" x14ac:dyDescent="0.35">
      <c r="B60" s="56" t="s">
        <v>1702</v>
      </c>
      <c r="C60" s="56"/>
      <c r="D60" s="83">
        <v>3.6577985459982365E-2</v>
      </c>
      <c r="E60" s="81">
        <v>1.6983635680919155E-2</v>
      </c>
      <c r="F60" s="81">
        <v>2.3874932014508632E-2</v>
      </c>
      <c r="G60" s="81">
        <v>2.2011392938697361E-2</v>
      </c>
      <c r="H60">
        <v>2.1469131944638509E-2</v>
      </c>
      <c r="I60">
        <v>2.037795778240481E-2</v>
      </c>
      <c r="J60">
        <v>2.031319568771961E-2</v>
      </c>
      <c r="K60">
        <v>2.0411174157790368E-2</v>
      </c>
      <c r="L60">
        <v>2.0278651758323107E-2</v>
      </c>
    </row>
    <row r="61" spans="2:12" x14ac:dyDescent="0.35">
      <c r="B61" s="56" t="s">
        <v>1703</v>
      </c>
      <c r="C61" s="56"/>
      <c r="D61" s="83">
        <v>5.6768969247473322E-2</v>
      </c>
      <c r="E61" s="81">
        <v>1.5299895562953081E-2</v>
      </c>
      <c r="F61" s="81">
        <v>1.4729668703095777E-2</v>
      </c>
      <c r="G61" s="81">
        <v>1.5119603614899724E-2</v>
      </c>
      <c r="H61">
        <v>2.1515602617293128E-2</v>
      </c>
      <c r="I61">
        <v>2.2790850007197161E-2</v>
      </c>
      <c r="J61">
        <v>2.3263295207157642E-2</v>
      </c>
      <c r="K61">
        <v>2.3889685874715294E-2</v>
      </c>
      <c r="L61">
        <v>2.2412555601408091E-2</v>
      </c>
    </row>
    <row r="62" spans="2:12" x14ac:dyDescent="0.35">
      <c r="B62" s="56" t="s">
        <v>1704</v>
      </c>
      <c r="C62" s="56"/>
      <c r="D62" s="83">
        <v>3.9281195609842667E-2</v>
      </c>
      <c r="E62" s="81">
        <v>2.8606309371189242E-2</v>
      </c>
      <c r="F62" s="81">
        <v>3.1343868352262882E-2</v>
      </c>
      <c r="G62" s="81">
        <v>3.2394354805230341E-2</v>
      </c>
      <c r="H62">
        <v>3.3164637629816696E-2</v>
      </c>
      <c r="I62">
        <v>3.1425713898589613E-2</v>
      </c>
      <c r="J62">
        <v>3.1013053419121528E-2</v>
      </c>
      <c r="K62">
        <v>3.1015398756455648E-2</v>
      </c>
      <c r="L62">
        <v>3.0542269425562596E-2</v>
      </c>
    </row>
    <row r="63" spans="2:12" x14ac:dyDescent="0.35">
      <c r="B63" s="56" t="s">
        <v>1705</v>
      </c>
      <c r="C63" s="56"/>
      <c r="D63" s="83">
        <v>4.161891556378583E-2</v>
      </c>
      <c r="E63" s="81">
        <v>2.8606309371189242E-2</v>
      </c>
      <c r="F63" s="81">
        <v>3.1343868352262882E-2</v>
      </c>
      <c r="G63" s="81">
        <v>3.2394354805230341E-2</v>
      </c>
      <c r="H63">
        <v>3.3164637629816696E-2</v>
      </c>
      <c r="I63">
        <v>3.1425713898589613E-2</v>
      </c>
      <c r="J63">
        <v>3.1013053419121528E-2</v>
      </c>
      <c r="K63">
        <v>3.1015398756455648E-2</v>
      </c>
      <c r="L63">
        <v>3.0542269425562596E-2</v>
      </c>
    </row>
    <row r="64" spans="2:12" x14ac:dyDescent="0.35">
      <c r="B64" s="56" t="s">
        <v>1706</v>
      </c>
      <c r="C64" s="56"/>
      <c r="D64" s="83">
        <v>2.9707566513271333E-2</v>
      </c>
      <c r="E64" s="81">
        <v>2.8606309371189242E-2</v>
      </c>
      <c r="F64" s="81">
        <v>3.1343868352262882E-2</v>
      </c>
      <c r="G64" s="81">
        <v>3.2394354805230341E-2</v>
      </c>
      <c r="H64">
        <v>3.3164637629816696E-2</v>
      </c>
      <c r="I64">
        <v>3.1425713898589613E-2</v>
      </c>
      <c r="J64">
        <v>3.1013053419121528E-2</v>
      </c>
      <c r="K64">
        <v>3.1015398756455648E-2</v>
      </c>
      <c r="L64">
        <v>3.0542269425562596E-2</v>
      </c>
    </row>
    <row r="65" spans="2:12" x14ac:dyDescent="0.35">
      <c r="D65" s="82"/>
    </row>
    <row r="66" spans="2:12" x14ac:dyDescent="0.35">
      <c r="B66" s="1323" t="s">
        <v>232</v>
      </c>
      <c r="C66" s="1323"/>
      <c r="D66" s="1323"/>
      <c r="E66" s="1323"/>
      <c r="F66" s="1323"/>
      <c r="G66" s="1323"/>
      <c r="H66" s="1323"/>
      <c r="I66" s="1323"/>
      <c r="J66" s="1323"/>
      <c r="K66" s="1323"/>
      <c r="L66" s="1323"/>
    </row>
    <row r="67" spans="2:12" x14ac:dyDescent="0.35">
      <c r="B67" t="s">
        <v>178</v>
      </c>
      <c r="C67" t="s">
        <v>179</v>
      </c>
      <c r="D67" t="s">
        <v>177</v>
      </c>
      <c r="E67" t="s">
        <v>763</v>
      </c>
      <c r="F67" t="s">
        <v>764</v>
      </c>
      <c r="G67" t="s">
        <v>765</v>
      </c>
      <c r="H67" t="s">
        <v>1151</v>
      </c>
      <c r="I67" t="s">
        <v>1152</v>
      </c>
      <c r="J67" t="s">
        <v>1153</v>
      </c>
      <c r="K67" t="s">
        <v>1154</v>
      </c>
      <c r="L67" t="s">
        <v>1155</v>
      </c>
    </row>
    <row r="68" spans="2:12" x14ac:dyDescent="0.35">
      <c r="B68" s="56" t="s">
        <v>192</v>
      </c>
      <c r="C68" s="56" t="s">
        <v>193</v>
      </c>
      <c r="D68" s="80">
        <f t="shared" ref="D68" si="0">D4-D36</f>
        <v>0</v>
      </c>
      <c r="E68" s="80">
        <f t="shared" ref="E68:I68" si="1">E4-E36</f>
        <v>0</v>
      </c>
      <c r="F68" s="80">
        <f t="shared" si="1"/>
        <v>0</v>
      </c>
      <c r="G68" s="80">
        <f t="shared" si="1"/>
        <v>0</v>
      </c>
      <c r="H68" s="80">
        <f t="shared" si="1"/>
        <v>0</v>
      </c>
      <c r="I68" s="80">
        <f t="shared" si="1"/>
        <v>0</v>
      </c>
      <c r="J68" s="80">
        <f>J4-J36</f>
        <v>0</v>
      </c>
      <c r="K68" s="80">
        <f>K4-K36</f>
        <v>0</v>
      </c>
      <c r="L68" s="80">
        <f>L4-L36</f>
        <v>0</v>
      </c>
    </row>
    <row r="69" spans="2:12" x14ac:dyDescent="0.35">
      <c r="B69" s="56" t="s">
        <v>134</v>
      </c>
      <c r="C69" s="56" t="s">
        <v>194</v>
      </c>
      <c r="D69" s="80">
        <f t="shared" ref="D69" si="2">D5-D37</f>
        <v>0</v>
      </c>
      <c r="E69" s="80">
        <f t="shared" ref="E69:I69" si="3">E5-E37</f>
        <v>0</v>
      </c>
      <c r="F69" s="80">
        <f t="shared" si="3"/>
        <v>0</v>
      </c>
      <c r="G69" s="80">
        <f t="shared" si="3"/>
        <v>0</v>
      </c>
      <c r="H69" s="80">
        <f t="shared" si="3"/>
        <v>0</v>
      </c>
      <c r="I69" s="80">
        <f t="shared" si="3"/>
        <v>0</v>
      </c>
      <c r="J69" s="80">
        <f t="shared" ref="J69:K69" si="4">J5-J37</f>
        <v>0</v>
      </c>
      <c r="K69" s="80">
        <f t="shared" si="4"/>
        <v>0</v>
      </c>
      <c r="L69" s="80">
        <f t="shared" ref="L69" si="5">L5-L37</f>
        <v>0</v>
      </c>
    </row>
    <row r="70" spans="2:12" x14ac:dyDescent="0.35">
      <c r="B70" s="56" t="s">
        <v>195</v>
      </c>
      <c r="C70" s="56" t="s">
        <v>196</v>
      </c>
      <c r="D70" s="80">
        <f t="shared" ref="D70" si="6">D6-D38</f>
        <v>0</v>
      </c>
      <c r="E70" s="80">
        <f t="shared" ref="E70:I70" si="7">E6-E38</f>
        <v>2.3671642963427075</v>
      </c>
      <c r="F70" s="80">
        <f t="shared" si="7"/>
        <v>2.4315571757149428</v>
      </c>
      <c r="G70" s="80">
        <f t="shared" si="7"/>
        <v>25.261899279841145</v>
      </c>
      <c r="H70" s="80">
        <f t="shared" si="7"/>
        <v>50.443382819421231</v>
      </c>
      <c r="I70" s="80">
        <f t="shared" si="7"/>
        <v>55.467422428808732</v>
      </c>
      <c r="J70" s="80">
        <f t="shared" ref="J70:K70" si="8">J6-J38</f>
        <v>61.552286039749561</v>
      </c>
      <c r="K70" s="80">
        <f t="shared" si="8"/>
        <v>61.779188357343628</v>
      </c>
      <c r="L70" s="80">
        <f t="shared" ref="L70" si="9">L6-L38</f>
        <v>61.78358915453714</v>
      </c>
    </row>
    <row r="71" spans="2:12" x14ac:dyDescent="0.35">
      <c r="B71" s="56" t="s">
        <v>197</v>
      </c>
      <c r="C71" s="56" t="s">
        <v>198</v>
      </c>
      <c r="D71" s="80">
        <f t="shared" ref="D71" si="10">D7-D39</f>
        <v>0</v>
      </c>
      <c r="E71" s="80">
        <f t="shared" ref="E71:I71" si="11">E7-E39</f>
        <v>0</v>
      </c>
      <c r="F71" s="80">
        <f t="shared" si="11"/>
        <v>0</v>
      </c>
      <c r="G71" s="80">
        <f t="shared" si="11"/>
        <v>0</v>
      </c>
      <c r="H71" s="80">
        <f t="shared" si="11"/>
        <v>0</v>
      </c>
      <c r="I71" s="80">
        <f t="shared" si="11"/>
        <v>0</v>
      </c>
      <c r="J71" s="80">
        <f t="shared" ref="J71:K71" si="12">J7-J39</f>
        <v>0</v>
      </c>
      <c r="K71" s="80">
        <f t="shared" si="12"/>
        <v>0</v>
      </c>
      <c r="L71" s="80">
        <f t="shared" ref="L71" si="13">L7-L39</f>
        <v>0</v>
      </c>
    </row>
    <row r="72" spans="2:12" x14ac:dyDescent="0.35">
      <c r="B72" s="56" t="s">
        <v>199</v>
      </c>
      <c r="C72" s="56" t="s">
        <v>200</v>
      </c>
      <c r="D72" s="80">
        <f t="shared" ref="D72" si="14">D8-D40</f>
        <v>0</v>
      </c>
      <c r="E72" s="80">
        <f t="shared" ref="E72:I72" si="15">E8-E40</f>
        <v>0</v>
      </c>
      <c r="F72" s="80">
        <f t="shared" si="15"/>
        <v>0</v>
      </c>
      <c r="G72" s="80">
        <f t="shared" si="15"/>
        <v>0</v>
      </c>
      <c r="H72" s="80">
        <f t="shared" si="15"/>
        <v>0</v>
      </c>
      <c r="I72" s="80">
        <f t="shared" si="15"/>
        <v>0</v>
      </c>
      <c r="J72" s="80">
        <f t="shared" ref="J72:K72" si="16">J8-J40</f>
        <v>0</v>
      </c>
      <c r="K72" s="80">
        <f t="shared" si="16"/>
        <v>0</v>
      </c>
      <c r="L72" s="80">
        <f t="shared" ref="L72" si="17">L8-L40</f>
        <v>0</v>
      </c>
    </row>
    <row r="73" spans="2:12" x14ac:dyDescent="0.35">
      <c r="B73" s="56" t="s">
        <v>201</v>
      </c>
      <c r="C73" s="56" t="s">
        <v>202</v>
      </c>
      <c r="D73" s="80">
        <f t="shared" ref="D73" si="18">D9-D41</f>
        <v>0</v>
      </c>
      <c r="E73" s="80">
        <f t="shared" ref="E73:I73" si="19">E9-E41</f>
        <v>0</v>
      </c>
      <c r="F73" s="80">
        <f t="shared" si="19"/>
        <v>0</v>
      </c>
      <c r="G73" s="80">
        <f t="shared" si="19"/>
        <v>0</v>
      </c>
      <c r="H73" s="80">
        <f t="shared" si="19"/>
        <v>0</v>
      </c>
      <c r="I73" s="80">
        <f t="shared" si="19"/>
        <v>0</v>
      </c>
      <c r="J73" s="80">
        <f t="shared" ref="J73:K73" si="20">J9-J41</f>
        <v>0</v>
      </c>
      <c r="K73" s="80">
        <f t="shared" si="20"/>
        <v>0</v>
      </c>
      <c r="L73" s="80">
        <f t="shared" ref="L73" si="21">L9-L41</f>
        <v>0</v>
      </c>
    </row>
    <row r="74" spans="2:12" x14ac:dyDescent="0.35">
      <c r="B74" s="56" t="s">
        <v>203</v>
      </c>
      <c r="C74" s="56" t="s">
        <v>204</v>
      </c>
      <c r="D74" s="80">
        <f t="shared" ref="D74" si="22">D10-D42</f>
        <v>0</v>
      </c>
      <c r="E74" s="80">
        <f t="shared" ref="E74:I74" si="23">E10-E42</f>
        <v>0</v>
      </c>
      <c r="F74" s="80">
        <f t="shared" si="23"/>
        <v>0</v>
      </c>
      <c r="G74" s="80">
        <f t="shared" si="23"/>
        <v>0</v>
      </c>
      <c r="H74" s="80">
        <f t="shared" si="23"/>
        <v>0</v>
      </c>
      <c r="I74" s="80">
        <f t="shared" si="23"/>
        <v>0</v>
      </c>
      <c r="J74" s="80">
        <f t="shared" ref="J74:K74" si="24">J10-J42</f>
        <v>0</v>
      </c>
      <c r="K74" s="80">
        <f t="shared" si="24"/>
        <v>0</v>
      </c>
      <c r="L74" s="80">
        <f t="shared" ref="L74" si="25">L10-L42</f>
        <v>0</v>
      </c>
    </row>
    <row r="75" spans="2:12" x14ac:dyDescent="0.35">
      <c r="B75" s="56" t="s">
        <v>205</v>
      </c>
      <c r="C75" s="56" t="s">
        <v>206</v>
      </c>
      <c r="D75" s="80">
        <f t="shared" ref="D75" si="26">D11-D43</f>
        <v>0</v>
      </c>
      <c r="E75" s="80">
        <f t="shared" ref="E75:I75" si="27">E11-E43</f>
        <v>0</v>
      </c>
      <c r="F75" s="80">
        <f t="shared" si="27"/>
        <v>0</v>
      </c>
      <c r="G75" s="80">
        <f t="shared" si="27"/>
        <v>0</v>
      </c>
      <c r="H75" s="80">
        <f t="shared" si="27"/>
        <v>0</v>
      </c>
      <c r="I75" s="80">
        <f t="shared" si="27"/>
        <v>0</v>
      </c>
      <c r="J75" s="80">
        <f t="shared" ref="J75:K75" si="28">J11-J43</f>
        <v>0</v>
      </c>
      <c r="K75" s="80">
        <f t="shared" si="28"/>
        <v>0</v>
      </c>
      <c r="L75" s="80">
        <f t="shared" ref="L75" si="29">L11-L43</f>
        <v>0</v>
      </c>
    </row>
    <row r="76" spans="2:12" x14ac:dyDescent="0.35">
      <c r="B76" s="56" t="s">
        <v>207</v>
      </c>
      <c r="C76" s="56" t="s">
        <v>208</v>
      </c>
      <c r="D76" s="80">
        <f t="shared" ref="D76" si="30">D12-D44</f>
        <v>0</v>
      </c>
      <c r="E76" s="80">
        <f t="shared" ref="E76:I76" si="31">E12-E44</f>
        <v>0</v>
      </c>
      <c r="F76" s="80">
        <f t="shared" si="31"/>
        <v>0</v>
      </c>
      <c r="G76" s="80">
        <f>G12-G44</f>
        <v>-3.0807001187554306E-2</v>
      </c>
      <c r="H76" s="80">
        <f t="shared" si="31"/>
        <v>-3.1174663893580146E-2</v>
      </c>
      <c r="I76" s="80">
        <f t="shared" si="31"/>
        <v>0.52149379576167121</v>
      </c>
      <c r="J76" s="80">
        <f t="shared" ref="J76:K76" si="32">J12-J44</f>
        <v>0.52382920224158624</v>
      </c>
      <c r="K76" s="80">
        <f t="shared" si="32"/>
        <v>-11.791973663353929</v>
      </c>
      <c r="L76" s="80">
        <f t="shared" ref="L76" si="33">L12-L44</f>
        <v>-11.746761596332362</v>
      </c>
    </row>
    <row r="77" spans="2:12" x14ac:dyDescent="0.35">
      <c r="B77" s="56" t="s">
        <v>209</v>
      </c>
      <c r="C77" s="56" t="s">
        <v>210</v>
      </c>
      <c r="D77" s="80">
        <f t="shared" ref="D77" si="34">D13-D45</f>
        <v>0</v>
      </c>
      <c r="E77" s="80">
        <f t="shared" ref="E77:I77" si="35">E13-E45</f>
        <v>0</v>
      </c>
      <c r="F77" s="80">
        <f t="shared" si="35"/>
        <v>0</v>
      </c>
      <c r="G77" s="80">
        <f t="shared" si="35"/>
        <v>-4.4999999999959073E-2</v>
      </c>
      <c r="H77" s="80">
        <f t="shared" si="35"/>
        <v>-4.5684752388979177E-2</v>
      </c>
      <c r="I77" s="80">
        <f t="shared" si="35"/>
        <v>-4.6379924463053612E-2</v>
      </c>
      <c r="J77" s="80">
        <f t="shared" ref="J77:K77" si="36">J13-J45</f>
        <v>-4.7085674775871666E-2</v>
      </c>
      <c r="K77" s="80">
        <f t="shared" si="36"/>
        <v>-18.497788217292737</v>
      </c>
      <c r="L77" s="80">
        <f t="shared" ref="L77" si="37">L13-L45</f>
        <v>-18.773784743876377</v>
      </c>
    </row>
    <row r="78" spans="2:12" x14ac:dyDescent="0.35">
      <c r="B78" s="56" t="s">
        <v>55</v>
      </c>
      <c r="C78" s="56" t="s">
        <v>211</v>
      </c>
      <c r="D78" s="80">
        <f t="shared" ref="D78" si="38">D14-D46</f>
        <v>0</v>
      </c>
      <c r="E78" s="80">
        <f t="shared" ref="E78:I78" si="39">E14-E46</f>
        <v>0</v>
      </c>
      <c r="F78" s="80">
        <f t="shared" si="39"/>
        <v>0</v>
      </c>
      <c r="G78" s="80">
        <f t="shared" si="39"/>
        <v>0</v>
      </c>
      <c r="H78" s="80">
        <f t="shared" si="39"/>
        <v>0</v>
      </c>
      <c r="I78" s="80">
        <f t="shared" si="39"/>
        <v>0</v>
      </c>
      <c r="J78" s="80">
        <f t="shared" ref="J78:K78" si="40">J14-J46</f>
        <v>0</v>
      </c>
      <c r="K78" s="80">
        <f t="shared" si="40"/>
        <v>0</v>
      </c>
      <c r="L78" s="80">
        <f t="shared" ref="L78" si="41">L14-L46</f>
        <v>0</v>
      </c>
    </row>
    <row r="79" spans="2:12" x14ac:dyDescent="0.35">
      <c r="B79" s="56" t="s">
        <v>212</v>
      </c>
      <c r="C79" s="56" t="s">
        <v>213</v>
      </c>
      <c r="D79" s="80">
        <f t="shared" ref="D79" si="42">D15-D47</f>
        <v>0</v>
      </c>
      <c r="E79" s="80">
        <f t="shared" ref="E79:I79" si="43">E15-E47</f>
        <v>0</v>
      </c>
      <c r="F79" s="80">
        <f t="shared" si="43"/>
        <v>0</v>
      </c>
      <c r="G79" s="80">
        <f t="shared" si="43"/>
        <v>0</v>
      </c>
      <c r="H79" s="80">
        <f t="shared" si="43"/>
        <v>0</v>
      </c>
      <c r="I79" s="80">
        <f t="shared" si="43"/>
        <v>0</v>
      </c>
      <c r="J79" s="80">
        <f t="shared" ref="J79:K79" si="44">J15-J47</f>
        <v>0</v>
      </c>
      <c r="K79" s="80">
        <f t="shared" si="44"/>
        <v>0</v>
      </c>
      <c r="L79" s="80">
        <f t="shared" ref="L79" si="45">L15-L47</f>
        <v>0</v>
      </c>
    </row>
    <row r="80" spans="2:12" x14ac:dyDescent="0.35">
      <c r="B80" s="56" t="s">
        <v>214</v>
      </c>
      <c r="C80" s="56" t="s">
        <v>215</v>
      </c>
      <c r="D80" s="80">
        <f t="shared" ref="D80" si="46">D16-D48</f>
        <v>0</v>
      </c>
      <c r="E80" s="80">
        <f t="shared" ref="E80:I80" si="47">E16-E48</f>
        <v>0</v>
      </c>
      <c r="F80" s="80">
        <f t="shared" si="47"/>
        <v>0</v>
      </c>
      <c r="G80" s="80">
        <f t="shared" si="47"/>
        <v>0</v>
      </c>
      <c r="H80" s="80">
        <f t="shared" si="47"/>
        <v>0</v>
      </c>
      <c r="I80" s="80">
        <f t="shared" si="47"/>
        <v>0</v>
      </c>
      <c r="J80" s="80">
        <f t="shared" ref="J80:K80" si="48">J16-J48</f>
        <v>0</v>
      </c>
      <c r="K80" s="80">
        <f t="shared" si="48"/>
        <v>0</v>
      </c>
      <c r="L80" s="80">
        <f t="shared" ref="L80" si="49">L16-L48</f>
        <v>0</v>
      </c>
    </row>
    <row r="81" spans="2:12" x14ac:dyDescent="0.35">
      <c r="B81" s="56" t="s">
        <v>216</v>
      </c>
      <c r="C81" s="56" t="s">
        <v>217</v>
      </c>
      <c r="D81" s="80">
        <f t="shared" ref="D81" si="50">D17-D49</f>
        <v>0</v>
      </c>
      <c r="E81" s="80">
        <f t="shared" ref="E81:I81" si="51">E17-E49</f>
        <v>0</v>
      </c>
      <c r="F81" s="80">
        <f t="shared" si="51"/>
        <v>0</v>
      </c>
      <c r="G81" s="80">
        <f t="shared" si="51"/>
        <v>0</v>
      </c>
      <c r="H81" s="80">
        <f t="shared" si="51"/>
        <v>0</v>
      </c>
      <c r="I81" s="80">
        <f t="shared" si="51"/>
        <v>0</v>
      </c>
      <c r="J81" s="80">
        <f t="shared" ref="J81:K81" si="52">J17-J49</f>
        <v>0</v>
      </c>
      <c r="K81" s="80">
        <f t="shared" si="52"/>
        <v>0</v>
      </c>
      <c r="L81" s="80">
        <f t="shared" ref="L81" si="53">L17-L49</f>
        <v>0</v>
      </c>
    </row>
    <row r="82" spans="2:12" x14ac:dyDescent="0.35">
      <c r="B82" s="56" t="s">
        <v>820</v>
      </c>
      <c r="C82" s="56" t="s">
        <v>219</v>
      </c>
      <c r="D82" s="80">
        <f t="shared" ref="D82" si="54">D18-D50</f>
        <v>0</v>
      </c>
      <c r="E82" s="80">
        <f t="shared" ref="E82:I82" si="55">E18-E50</f>
        <v>0</v>
      </c>
      <c r="F82" s="80">
        <f t="shared" si="55"/>
        <v>0</v>
      </c>
      <c r="G82" s="80">
        <f t="shared" si="55"/>
        <v>0</v>
      </c>
      <c r="H82" s="80">
        <f t="shared" si="55"/>
        <v>0</v>
      </c>
      <c r="I82" s="80">
        <f t="shared" si="55"/>
        <v>0</v>
      </c>
      <c r="J82" s="80">
        <f t="shared" ref="J82:K82" si="56">J18-J50</f>
        <v>0</v>
      </c>
      <c r="K82" s="80">
        <f t="shared" si="56"/>
        <v>0</v>
      </c>
      <c r="L82" s="80">
        <f t="shared" ref="L82" si="57">L18-L50</f>
        <v>0</v>
      </c>
    </row>
    <row r="83" spans="2:12" x14ac:dyDescent="0.35">
      <c r="B83" s="56" t="s">
        <v>220</v>
      </c>
      <c r="C83" s="56" t="s">
        <v>221</v>
      </c>
      <c r="D83" s="80">
        <f t="shared" ref="D83" si="58">D19-D51</f>
        <v>0</v>
      </c>
      <c r="E83" s="80">
        <f t="shared" ref="E83:I83" si="59">E19-E51</f>
        <v>0</v>
      </c>
      <c r="F83" s="80">
        <f t="shared" si="59"/>
        <v>0</v>
      </c>
      <c r="G83" s="80">
        <f>G19-G51</f>
        <v>-7.9609999999997854</v>
      </c>
      <c r="H83" s="80">
        <f t="shared" si="59"/>
        <v>-7.9609999999997854</v>
      </c>
      <c r="I83" s="80">
        <f t="shared" si="59"/>
        <v>-7.9610000000002401</v>
      </c>
      <c r="J83" s="80">
        <f t="shared" ref="J83:K83" si="60">J19-J51</f>
        <v>-7.9609999999997854</v>
      </c>
      <c r="K83" s="80">
        <f t="shared" si="60"/>
        <v>-16.115999999999985</v>
      </c>
      <c r="L83" s="80">
        <f t="shared" ref="L83" si="61">L19-L51</f>
        <v>-16.115999999999985</v>
      </c>
    </row>
    <row r="84" spans="2:12" x14ac:dyDescent="0.35">
      <c r="B84" s="56" t="s">
        <v>222</v>
      </c>
      <c r="C84" s="56" t="s">
        <v>223</v>
      </c>
      <c r="D84" s="80">
        <f t="shared" ref="D84" si="62">D20-D52</f>
        <v>0</v>
      </c>
      <c r="E84" s="80">
        <f t="shared" ref="E84:I84" si="63">E20-E52</f>
        <v>0</v>
      </c>
      <c r="F84" s="80">
        <f t="shared" si="63"/>
        <v>0</v>
      </c>
      <c r="G84" s="80">
        <f t="shared" si="63"/>
        <v>0</v>
      </c>
      <c r="H84" s="80">
        <f t="shared" si="63"/>
        <v>0</v>
      </c>
      <c r="I84" s="80">
        <f t="shared" si="63"/>
        <v>0</v>
      </c>
      <c r="J84" s="80">
        <f t="shared" ref="J84:K84" si="64">J20-J52</f>
        <v>0</v>
      </c>
      <c r="K84" s="80">
        <f t="shared" si="64"/>
        <v>0</v>
      </c>
      <c r="L84" s="80">
        <f t="shared" ref="L84" si="65">L20-L52</f>
        <v>0</v>
      </c>
    </row>
    <row r="85" spans="2:12" x14ac:dyDescent="0.35">
      <c r="B85" s="56" t="s">
        <v>224</v>
      </c>
      <c r="C85" s="56" t="s">
        <v>225</v>
      </c>
      <c r="D85" s="80">
        <f t="shared" ref="D85" si="66">D21-D53</f>
        <v>0</v>
      </c>
      <c r="E85" s="80">
        <f t="shared" ref="E85:I85" si="67">E21-E53</f>
        <v>0</v>
      </c>
      <c r="F85" s="80">
        <f t="shared" si="67"/>
        <v>0</v>
      </c>
      <c r="G85" s="80">
        <f t="shared" si="67"/>
        <v>0</v>
      </c>
      <c r="H85" s="80">
        <f t="shared" si="67"/>
        <v>-103.89337626953784</v>
      </c>
      <c r="I85" s="80">
        <f t="shared" si="67"/>
        <v>-104.40899198687111</v>
      </c>
      <c r="J85" s="80">
        <f t="shared" ref="J85:K85" si="68">J21-J53</f>
        <v>-104.92716666972956</v>
      </c>
      <c r="K85" s="80">
        <f t="shared" si="68"/>
        <v>-105.44791301808073</v>
      </c>
      <c r="L85" s="80">
        <f t="shared" ref="L85" si="69">L21-L53</f>
        <v>-142.73606898867092</v>
      </c>
    </row>
    <row r="86" spans="2:12" x14ac:dyDescent="0.35">
      <c r="B86" s="56" t="s">
        <v>226</v>
      </c>
      <c r="C86" s="56" t="s">
        <v>227</v>
      </c>
      <c r="D86" s="80">
        <f t="shared" ref="D86" si="70">D22-D54</f>
        <v>0</v>
      </c>
      <c r="E86" s="80">
        <f t="shared" ref="E86:I86" si="71">E22-E54</f>
        <v>0</v>
      </c>
      <c r="F86" s="80">
        <f t="shared" si="71"/>
        <v>0</v>
      </c>
      <c r="G86" s="80">
        <f t="shared" si="71"/>
        <v>0</v>
      </c>
      <c r="H86" s="80">
        <f t="shared" si="71"/>
        <v>0</v>
      </c>
      <c r="I86" s="80">
        <f t="shared" si="71"/>
        <v>0</v>
      </c>
      <c r="J86" s="80">
        <f t="shared" ref="J86:K86" si="72">J22-J54</f>
        <v>0</v>
      </c>
      <c r="K86" s="80">
        <f t="shared" si="72"/>
        <v>0</v>
      </c>
      <c r="L86" s="80">
        <f t="shared" ref="L86" si="73">L22-L54</f>
        <v>0</v>
      </c>
    </row>
    <row r="87" spans="2:12" x14ac:dyDescent="0.35">
      <c r="B87" s="56" t="s">
        <v>228</v>
      </c>
      <c r="C87" s="56" t="s">
        <v>229</v>
      </c>
      <c r="D87" s="80">
        <f t="shared" ref="D87" si="74">D23-D55</f>
        <v>0</v>
      </c>
      <c r="E87" s="80">
        <f t="shared" ref="E87:I87" si="75">E23-E55</f>
        <v>0</v>
      </c>
      <c r="F87" s="80">
        <f t="shared" si="75"/>
        <v>-400</v>
      </c>
      <c r="G87" s="80">
        <f t="shared" si="75"/>
        <v>-397.52845019829152</v>
      </c>
      <c r="H87" s="80">
        <f t="shared" si="75"/>
        <v>-136.77217179263891</v>
      </c>
      <c r="I87" s="80">
        <f t="shared" si="75"/>
        <v>-135.92707370745563</v>
      </c>
      <c r="J87" s="80">
        <f t="shared" ref="J87:K87" si="76">J23-J55</f>
        <v>-135.0871973772845</v>
      </c>
      <c r="K87" s="80">
        <f t="shared" si="76"/>
        <v>-134.25251053755659</v>
      </c>
      <c r="L87" s="80">
        <f t="shared" ref="L87" si="77">L23-L55</f>
        <v>-121.72298112306169</v>
      </c>
    </row>
    <row r="88" spans="2:12" x14ac:dyDescent="0.35">
      <c r="B88" s="56" t="s">
        <v>230</v>
      </c>
      <c r="C88" s="56" t="s">
        <v>231</v>
      </c>
      <c r="D88" s="80">
        <f t="shared" ref="D88" si="78">D24-D56</f>
        <v>0</v>
      </c>
      <c r="E88" s="80">
        <f t="shared" ref="E88:I88" si="79">E24-E56</f>
        <v>0</v>
      </c>
      <c r="F88" s="80">
        <f t="shared" si="79"/>
        <v>0</v>
      </c>
      <c r="G88" s="80">
        <f t="shared" si="79"/>
        <v>0</v>
      </c>
      <c r="H88" s="80">
        <f t="shared" si="79"/>
        <v>0</v>
      </c>
      <c r="I88" s="80">
        <f t="shared" si="79"/>
        <v>0</v>
      </c>
      <c r="J88" s="80">
        <f t="shared" ref="J88:K88" si="80">J24-J56</f>
        <v>0</v>
      </c>
      <c r="K88" s="80">
        <f t="shared" si="80"/>
        <v>0</v>
      </c>
      <c r="L88" s="80">
        <f t="shared" ref="L88" si="81">L24-L56</f>
        <v>0</v>
      </c>
    </row>
    <row r="89" spans="2:12" x14ac:dyDescent="0.35">
      <c r="B89" s="56" t="s">
        <v>1379</v>
      </c>
      <c r="C89" s="56" t="s">
        <v>1378</v>
      </c>
      <c r="D89" s="80">
        <f t="shared" ref="D89" si="82">D25-D57</f>
        <v>-11</v>
      </c>
      <c r="E89" s="80">
        <f t="shared" ref="E89:I89" si="83">E25-E57</f>
        <v>-11</v>
      </c>
      <c r="F89" s="80">
        <f t="shared" si="83"/>
        <v>-11</v>
      </c>
      <c r="G89" s="80">
        <f t="shared" si="83"/>
        <v>-11</v>
      </c>
      <c r="H89" s="80">
        <f t="shared" si="83"/>
        <v>-11</v>
      </c>
      <c r="I89" s="80">
        <f t="shared" si="83"/>
        <v>-11</v>
      </c>
      <c r="J89" s="80">
        <f t="shared" ref="J89:K89" si="84">J25-J57</f>
        <v>-11</v>
      </c>
      <c r="K89" s="80">
        <f t="shared" si="84"/>
        <v>-11</v>
      </c>
      <c r="L89" s="80">
        <f t="shared" ref="L89" si="85">L25-L57</f>
        <v>-11</v>
      </c>
    </row>
    <row r="90" spans="2:12" x14ac:dyDescent="0.35">
      <c r="B90" s="56"/>
      <c r="C90" s="56"/>
      <c r="D90" s="80"/>
      <c r="E90" s="80"/>
      <c r="F90" s="80"/>
      <c r="G90" s="80"/>
      <c r="H90" s="80"/>
      <c r="I90" s="80"/>
      <c r="J90" s="80"/>
      <c r="K90" s="80"/>
      <c r="L90" s="80"/>
    </row>
    <row r="91" spans="2:12" x14ac:dyDescent="0.35">
      <c r="B91" s="56"/>
      <c r="C91" s="56"/>
      <c r="D91" s="80"/>
      <c r="E91" s="80"/>
      <c r="F91" s="80"/>
      <c r="G91" s="80"/>
      <c r="H91" s="80"/>
      <c r="I91" s="80"/>
      <c r="J91" s="80"/>
      <c r="K91" s="80"/>
      <c r="L91" s="80"/>
    </row>
    <row r="92" spans="2:12" x14ac:dyDescent="0.35">
      <c r="B92" s="69" t="s">
        <v>1888</v>
      </c>
      <c r="C92" s="56"/>
      <c r="D92" s="80"/>
      <c r="E92" s="80"/>
      <c r="F92" s="80"/>
      <c r="G92" s="80"/>
      <c r="H92" s="80"/>
      <c r="I92" s="80"/>
      <c r="J92" s="80"/>
      <c r="K92" s="80"/>
    </row>
    <row r="93" spans="2:12" x14ac:dyDescent="0.35">
      <c r="B93" s="56" t="s">
        <v>1702</v>
      </c>
      <c r="C93" s="56" t="s">
        <v>1889</v>
      </c>
      <c r="D93" s="79">
        <f t="shared" ref="D93" si="86">D28-D60</f>
        <v>0</v>
      </c>
      <c r="E93" s="79">
        <f>E28-E60</f>
        <v>0</v>
      </c>
      <c r="F93" s="79">
        <f t="shared" ref="F93:G93" si="87">F28-F60</f>
        <v>0</v>
      </c>
      <c r="G93" s="79">
        <f t="shared" si="87"/>
        <v>0</v>
      </c>
      <c r="H93" s="79">
        <f t="shared" ref="H93:I93" si="88">H28-H60</f>
        <v>0</v>
      </c>
      <c r="I93" s="79">
        <f t="shared" si="88"/>
        <v>0</v>
      </c>
      <c r="J93" s="79">
        <f t="shared" ref="J93:K93" si="89">J28-J60</f>
        <v>0</v>
      </c>
      <c r="K93" s="79">
        <f t="shared" si="89"/>
        <v>0</v>
      </c>
      <c r="L93" s="79">
        <f t="shared" ref="L93" si="90">L28-L60</f>
        <v>0</v>
      </c>
    </row>
    <row r="94" spans="2:12" x14ac:dyDescent="0.35">
      <c r="B94" s="56" t="s">
        <v>1703</v>
      </c>
      <c r="C94" s="56"/>
      <c r="D94" s="79">
        <f t="shared" ref="D94:E97" si="91">D29-D61</f>
        <v>0</v>
      </c>
      <c r="E94" s="79">
        <f t="shared" si="91"/>
        <v>0</v>
      </c>
      <c r="F94" s="79">
        <f t="shared" ref="F94:G94" si="92">F29-F61</f>
        <v>0</v>
      </c>
      <c r="G94" s="79">
        <f t="shared" si="92"/>
        <v>0</v>
      </c>
      <c r="H94" s="79">
        <f t="shared" ref="H94:I94" si="93">H29-H61</f>
        <v>0</v>
      </c>
      <c r="I94" s="79">
        <f t="shared" si="93"/>
        <v>0</v>
      </c>
      <c r="J94" s="79">
        <f t="shared" ref="J94:K94" si="94">J29-J61</f>
        <v>0</v>
      </c>
      <c r="K94" s="79">
        <f t="shared" si="94"/>
        <v>0</v>
      </c>
      <c r="L94" s="79">
        <f t="shared" ref="L94" si="95">L29-L61</f>
        <v>0</v>
      </c>
    </row>
    <row r="95" spans="2:12" x14ac:dyDescent="0.35">
      <c r="B95" s="56" t="s">
        <v>1704</v>
      </c>
      <c r="C95" s="56"/>
      <c r="D95" s="79">
        <f t="shared" si="91"/>
        <v>0</v>
      </c>
      <c r="E95" s="79">
        <f t="shared" si="91"/>
        <v>0</v>
      </c>
      <c r="F95" s="79">
        <f t="shared" ref="F95:G95" si="96">F30-F62</f>
        <v>0</v>
      </c>
      <c r="G95" s="79">
        <f t="shared" si="96"/>
        <v>0</v>
      </c>
      <c r="H95" s="79">
        <f t="shared" ref="H95:I95" si="97">H30-H62</f>
        <v>0</v>
      </c>
      <c r="I95" s="79">
        <f t="shared" si="97"/>
        <v>0</v>
      </c>
      <c r="J95" s="79">
        <f t="shared" ref="J95:K95" si="98">J30-J62</f>
        <v>0</v>
      </c>
      <c r="K95" s="79">
        <f t="shared" si="98"/>
        <v>0</v>
      </c>
      <c r="L95" s="79">
        <f t="shared" ref="L95" si="99">L30-L62</f>
        <v>0</v>
      </c>
    </row>
    <row r="96" spans="2:12" x14ac:dyDescent="0.35">
      <c r="B96" s="56" t="s">
        <v>1705</v>
      </c>
      <c r="C96" s="56"/>
      <c r="D96" s="79">
        <f t="shared" si="91"/>
        <v>0</v>
      </c>
      <c r="E96" s="79">
        <f t="shared" si="91"/>
        <v>0</v>
      </c>
      <c r="F96" s="79">
        <f t="shared" ref="F96:G96" si="100">F31-F63</f>
        <v>0</v>
      </c>
      <c r="G96" s="79">
        <f t="shared" si="100"/>
        <v>0</v>
      </c>
      <c r="H96" s="79">
        <f t="shared" ref="H96:I96" si="101">H31-H63</f>
        <v>0</v>
      </c>
      <c r="I96" s="79">
        <f t="shared" si="101"/>
        <v>0</v>
      </c>
      <c r="J96" s="79">
        <f t="shared" ref="J96:K96" si="102">J31-J63</f>
        <v>0</v>
      </c>
      <c r="K96" s="79">
        <f t="shared" si="102"/>
        <v>0</v>
      </c>
      <c r="L96" s="79">
        <f t="shared" ref="L96" si="103">L31-L63</f>
        <v>0</v>
      </c>
    </row>
    <row r="97" spans="2:12" x14ac:dyDescent="0.35">
      <c r="B97" s="56" t="s">
        <v>1706</v>
      </c>
      <c r="C97" s="56"/>
      <c r="D97" s="79">
        <f t="shared" si="91"/>
        <v>0</v>
      </c>
      <c r="E97" s="79">
        <f t="shared" si="91"/>
        <v>0</v>
      </c>
      <c r="F97" s="79">
        <f t="shared" ref="F97:G97" si="104">F32-F64</f>
        <v>0</v>
      </c>
      <c r="G97" s="79">
        <f t="shared" si="104"/>
        <v>0</v>
      </c>
      <c r="H97" s="79">
        <f t="shared" ref="H97:I97" si="105">H32-H64</f>
        <v>0</v>
      </c>
      <c r="I97" s="79">
        <f t="shared" si="105"/>
        <v>0</v>
      </c>
      <c r="J97" s="79">
        <f t="shared" ref="J97:K97" si="106">J32-J64</f>
        <v>0</v>
      </c>
      <c r="K97" s="79">
        <f t="shared" si="106"/>
        <v>0</v>
      </c>
      <c r="L97" s="79">
        <f t="shared" ref="L97" si="107">L32-L64</f>
        <v>0</v>
      </c>
    </row>
    <row r="99" spans="2:12" x14ac:dyDescent="0.35">
      <c r="B99" s="1322" t="s">
        <v>233</v>
      </c>
      <c r="C99" s="1322"/>
      <c r="D99" s="1322"/>
      <c r="E99" s="1322"/>
      <c r="F99" s="1322"/>
      <c r="G99" s="1322"/>
      <c r="H99" s="1322"/>
      <c r="I99" s="1322"/>
      <c r="J99" s="1322"/>
      <c r="K99" s="1322"/>
      <c r="L99" s="1322"/>
    </row>
    <row r="100" spans="2:12" x14ac:dyDescent="0.35">
      <c r="B100" t="s">
        <v>178</v>
      </c>
      <c r="C100" t="s">
        <v>179</v>
      </c>
      <c r="D100" t="s">
        <v>177</v>
      </c>
      <c r="E100" t="s">
        <v>763</v>
      </c>
      <c r="F100" t="s">
        <v>764</v>
      </c>
      <c r="G100" t="s">
        <v>765</v>
      </c>
      <c r="H100" t="s">
        <v>1151</v>
      </c>
      <c r="I100" t="s">
        <v>1152</v>
      </c>
      <c r="J100" t="s">
        <v>1153</v>
      </c>
      <c r="K100" t="s">
        <v>1154</v>
      </c>
      <c r="L100" t="s">
        <v>1155</v>
      </c>
    </row>
    <row r="101" spans="2:12" x14ac:dyDescent="0.35">
      <c r="B101" t="s">
        <v>192</v>
      </c>
      <c r="C101" t="s">
        <v>193</v>
      </c>
      <c r="D101" s="82">
        <f t="shared" ref="D101" si="108">(D4/D36-1)</f>
        <v>0</v>
      </c>
      <c r="E101" s="82">
        <f t="shared" ref="E101:H101" si="109">(E4/E36-1)</f>
        <v>0</v>
      </c>
      <c r="F101" s="82">
        <f t="shared" si="109"/>
        <v>0</v>
      </c>
      <c r="G101" s="82">
        <f t="shared" si="109"/>
        <v>0</v>
      </c>
      <c r="H101" s="82">
        <f t="shared" si="109"/>
        <v>0</v>
      </c>
      <c r="I101" s="82">
        <f t="shared" ref="I101:J122" si="110">(I4/I36-1)</f>
        <v>0</v>
      </c>
      <c r="J101" s="82">
        <f t="shared" si="110"/>
        <v>0</v>
      </c>
      <c r="K101" s="82">
        <f t="shared" ref="K101:L101" si="111">(K4/K36-1)</f>
        <v>0</v>
      </c>
      <c r="L101" s="82">
        <f t="shared" si="111"/>
        <v>0</v>
      </c>
    </row>
    <row r="102" spans="2:12" x14ac:dyDescent="0.35">
      <c r="B102" t="s">
        <v>134</v>
      </c>
      <c r="C102" t="s">
        <v>194</v>
      </c>
      <c r="D102" s="82">
        <f t="shared" ref="D102" si="112">(D5/D37-1)</f>
        <v>0</v>
      </c>
      <c r="E102" s="82">
        <f t="shared" ref="E102:H102" si="113">(E5/E37-1)</f>
        <v>0</v>
      </c>
      <c r="F102" s="82">
        <f t="shared" si="113"/>
        <v>0</v>
      </c>
      <c r="G102" s="82">
        <f t="shared" si="113"/>
        <v>0</v>
      </c>
      <c r="H102" s="82">
        <f t="shared" si="113"/>
        <v>0</v>
      </c>
      <c r="I102" s="82">
        <f t="shared" si="110"/>
        <v>0</v>
      </c>
      <c r="J102" s="82">
        <f t="shared" si="110"/>
        <v>0</v>
      </c>
      <c r="K102" s="82">
        <f t="shared" ref="K102:L102" si="114">(K5/K37-1)</f>
        <v>0</v>
      </c>
      <c r="L102" s="82">
        <f t="shared" si="114"/>
        <v>0</v>
      </c>
    </row>
    <row r="103" spans="2:12" x14ac:dyDescent="0.35">
      <c r="B103" t="s">
        <v>195</v>
      </c>
      <c r="C103" t="s">
        <v>196</v>
      </c>
      <c r="D103" s="82">
        <f t="shared" ref="D103" si="115">(D6/D38-1)</f>
        <v>0</v>
      </c>
      <c r="E103" s="82">
        <f t="shared" ref="E103:H103" si="116">(E6/E38-1)</f>
        <v>1.227699098893531E-3</v>
      </c>
      <c r="F103" s="82">
        <f t="shared" si="116"/>
        <v>1.2574523101906987E-3</v>
      </c>
      <c r="G103" s="82">
        <f t="shared" si="116"/>
        <v>1.3024651368783946E-2</v>
      </c>
      <c r="H103" s="82">
        <f t="shared" si="116"/>
        <v>2.5872621339054547E-2</v>
      </c>
      <c r="I103" s="82">
        <f t="shared" si="110"/>
        <v>2.829684735784177E-2</v>
      </c>
      <c r="J103" s="82">
        <f t="shared" si="110"/>
        <v>3.122152568780634E-2</v>
      </c>
      <c r="K103" s="82">
        <f t="shared" ref="K103:L103" si="117">(K6/K38-1)</f>
        <v>3.1177434071284482E-2</v>
      </c>
      <c r="L103" s="82">
        <f t="shared" si="117"/>
        <v>3.1028034454621878E-2</v>
      </c>
    </row>
    <row r="104" spans="2:12" x14ac:dyDescent="0.35">
      <c r="B104" t="s">
        <v>197</v>
      </c>
      <c r="C104" t="s">
        <v>198</v>
      </c>
      <c r="D104" s="82">
        <f t="shared" ref="D104" si="118">(D7/D39-1)</f>
        <v>0</v>
      </c>
      <c r="E104" s="82">
        <f t="shared" ref="E104:H104" si="119">(E7/E39-1)</f>
        <v>0</v>
      </c>
      <c r="F104" s="82">
        <f t="shared" si="119"/>
        <v>0</v>
      </c>
      <c r="G104" s="82">
        <f t="shared" si="119"/>
        <v>0</v>
      </c>
      <c r="H104" s="82">
        <f t="shared" si="119"/>
        <v>0</v>
      </c>
      <c r="I104" s="82">
        <f t="shared" si="110"/>
        <v>0</v>
      </c>
      <c r="J104" s="82">
        <f t="shared" si="110"/>
        <v>0</v>
      </c>
      <c r="K104" s="82">
        <f t="shared" ref="K104:L104" si="120">(K7/K39-1)</f>
        <v>0</v>
      </c>
      <c r="L104" s="82">
        <f t="shared" si="120"/>
        <v>0</v>
      </c>
    </row>
    <row r="105" spans="2:12" x14ac:dyDescent="0.35">
      <c r="B105" t="s">
        <v>199</v>
      </c>
      <c r="C105" t="s">
        <v>200</v>
      </c>
      <c r="D105" s="82">
        <f t="shared" ref="D105" si="121">(D8/D40-1)</f>
        <v>0</v>
      </c>
      <c r="E105" s="82">
        <f t="shared" ref="E105:H105" si="122">(E8/E40-1)</f>
        <v>0</v>
      </c>
      <c r="F105" s="82">
        <f t="shared" si="122"/>
        <v>0</v>
      </c>
      <c r="G105" s="82">
        <f t="shared" si="122"/>
        <v>0</v>
      </c>
      <c r="H105" s="82">
        <f t="shared" si="122"/>
        <v>0</v>
      </c>
      <c r="I105" s="82">
        <f t="shared" si="110"/>
        <v>0</v>
      </c>
      <c r="J105" s="82">
        <f t="shared" si="110"/>
        <v>0</v>
      </c>
      <c r="K105" s="82">
        <f t="shared" ref="K105:L105" si="123">(K8/K40-1)</f>
        <v>0</v>
      </c>
      <c r="L105" s="82">
        <f t="shared" si="123"/>
        <v>0</v>
      </c>
    </row>
    <row r="106" spans="2:12" x14ac:dyDescent="0.35">
      <c r="B106" t="s">
        <v>201</v>
      </c>
      <c r="C106" t="s">
        <v>202</v>
      </c>
      <c r="D106" s="82">
        <f t="shared" ref="D106" si="124">(D9/D41-1)</f>
        <v>0</v>
      </c>
      <c r="E106" s="82">
        <f t="shared" ref="E106:H106" si="125">(E9/E41-1)</f>
        <v>0</v>
      </c>
      <c r="F106" s="82">
        <f t="shared" si="125"/>
        <v>0</v>
      </c>
      <c r="G106" s="82">
        <f t="shared" si="125"/>
        <v>0</v>
      </c>
      <c r="H106" s="82" t="e">
        <f t="shared" si="125"/>
        <v>#DIV/0!</v>
      </c>
      <c r="I106" s="82" t="e">
        <f t="shared" si="110"/>
        <v>#DIV/0!</v>
      </c>
      <c r="J106" s="82" t="e">
        <f t="shared" si="110"/>
        <v>#DIV/0!</v>
      </c>
      <c r="K106" s="82" t="e">
        <f t="shared" ref="K106:L106" si="126">(K9/K41-1)</f>
        <v>#DIV/0!</v>
      </c>
      <c r="L106" s="82" t="e">
        <f t="shared" si="126"/>
        <v>#DIV/0!</v>
      </c>
    </row>
    <row r="107" spans="2:12" x14ac:dyDescent="0.35">
      <c r="B107" t="s">
        <v>203</v>
      </c>
      <c r="C107" t="s">
        <v>204</v>
      </c>
      <c r="D107" s="82">
        <f t="shared" ref="D107" si="127">(D10/D42-1)</f>
        <v>0</v>
      </c>
      <c r="E107" s="82" t="e">
        <f t="shared" ref="E107:H107" si="128">(E10/E42-1)</f>
        <v>#DIV/0!</v>
      </c>
      <c r="F107" s="82" t="e">
        <f t="shared" si="128"/>
        <v>#DIV/0!</v>
      </c>
      <c r="G107" s="82" t="e">
        <f t="shared" si="128"/>
        <v>#DIV/0!</v>
      </c>
      <c r="H107" s="82" t="e">
        <f t="shared" si="128"/>
        <v>#DIV/0!</v>
      </c>
      <c r="I107" s="82" t="e">
        <f t="shared" si="110"/>
        <v>#DIV/0!</v>
      </c>
      <c r="J107" s="82" t="e">
        <f t="shared" si="110"/>
        <v>#DIV/0!</v>
      </c>
      <c r="K107" s="82" t="e">
        <f t="shared" ref="K107:L107" si="129">(K10/K42-1)</f>
        <v>#DIV/0!</v>
      </c>
      <c r="L107" s="82" t="e">
        <f t="shared" si="129"/>
        <v>#DIV/0!</v>
      </c>
    </row>
    <row r="108" spans="2:12" x14ac:dyDescent="0.35">
      <c r="B108" t="s">
        <v>205</v>
      </c>
      <c r="C108" t="s">
        <v>206</v>
      </c>
      <c r="D108" s="82">
        <f t="shared" ref="D108" si="130">(D11/D43-1)</f>
        <v>0</v>
      </c>
      <c r="E108" s="82">
        <f t="shared" ref="E108:H108" si="131">(E11/E43-1)</f>
        <v>0</v>
      </c>
      <c r="F108" s="82">
        <f t="shared" si="131"/>
        <v>0</v>
      </c>
      <c r="G108" s="82">
        <f t="shared" si="131"/>
        <v>0</v>
      </c>
      <c r="H108" s="82">
        <f t="shared" si="131"/>
        <v>0</v>
      </c>
      <c r="I108" s="82">
        <f t="shared" si="110"/>
        <v>0</v>
      </c>
      <c r="J108" s="82">
        <f t="shared" si="110"/>
        <v>0</v>
      </c>
      <c r="K108" s="82">
        <f t="shared" ref="K108:L108" si="132">(K11/K43-1)</f>
        <v>0</v>
      </c>
      <c r="L108" s="82">
        <f t="shared" si="132"/>
        <v>0</v>
      </c>
    </row>
    <row r="109" spans="2:12" x14ac:dyDescent="0.35">
      <c r="B109" t="s">
        <v>207</v>
      </c>
      <c r="C109" t="s">
        <v>208</v>
      </c>
      <c r="D109" s="82">
        <f t="shared" ref="D109" si="133">(D12/D44-1)</f>
        <v>0</v>
      </c>
      <c r="E109" s="82">
        <f t="shared" ref="E109:H109" si="134">(E12/E44-1)</f>
        <v>0</v>
      </c>
      <c r="F109" s="82">
        <f t="shared" si="134"/>
        <v>0</v>
      </c>
      <c r="G109" s="82">
        <f t="shared" si="134"/>
        <v>-4.4971333054477647E-5</v>
      </c>
      <c r="H109" s="82">
        <f t="shared" si="134"/>
        <v>-4.4971333054477647E-5</v>
      </c>
      <c r="I109" s="82">
        <f t="shared" si="110"/>
        <v>7.3919394231647395E-4</v>
      </c>
      <c r="J109" s="82">
        <f t="shared" si="110"/>
        <v>7.313694266537496E-4</v>
      </c>
      <c r="K109" s="82">
        <f t="shared" ref="K109:L109" si="135">(K12/K44-1)</f>
        <v>-1.6228753763793402E-2</v>
      </c>
      <c r="L109" s="82">
        <f t="shared" si="135"/>
        <v>-1.5933641958511324E-2</v>
      </c>
    </row>
    <row r="110" spans="2:12" x14ac:dyDescent="0.35">
      <c r="B110" t="s">
        <v>209</v>
      </c>
      <c r="C110" t="s">
        <v>210</v>
      </c>
      <c r="D110" s="82">
        <f t="shared" ref="D110" si="136">(D13/D45-1)</f>
        <v>0</v>
      </c>
      <c r="E110" s="82">
        <f t="shared" ref="E110:H110" si="137">(E13/E45-1)</f>
        <v>0</v>
      </c>
      <c r="F110" s="82">
        <f t="shared" si="137"/>
        <v>0</v>
      </c>
      <c r="G110" s="82">
        <f t="shared" si="137"/>
        <v>-4.4971333054477647E-5</v>
      </c>
      <c r="H110" s="82">
        <f t="shared" si="137"/>
        <v>-4.4971333054477647E-5</v>
      </c>
      <c r="I110" s="82">
        <f t="shared" si="110"/>
        <v>-4.4971333054255602E-5</v>
      </c>
      <c r="J110" s="82">
        <f t="shared" si="110"/>
        <v>-4.4971333054255602E-5</v>
      </c>
      <c r="K110" s="82">
        <f t="shared" ref="K110:L110" si="138">(K13/K45-1)</f>
        <v>-1.7407433083171164E-2</v>
      </c>
      <c r="L110" s="82">
        <f t="shared" si="138"/>
        <v>-1.7407433083171164E-2</v>
      </c>
    </row>
    <row r="111" spans="2:12" x14ac:dyDescent="0.35">
      <c r="B111" t="s">
        <v>55</v>
      </c>
      <c r="C111" t="s">
        <v>211</v>
      </c>
      <c r="D111" s="82">
        <f t="shared" ref="D111" si="139">(D14/D46-1)</f>
        <v>0</v>
      </c>
      <c r="E111" s="82">
        <f t="shared" ref="E111:H111" si="140">(E14/E46-1)</f>
        <v>0</v>
      </c>
      <c r="F111" s="82">
        <f t="shared" si="140"/>
        <v>0</v>
      </c>
      <c r="G111" s="82">
        <f t="shared" si="140"/>
        <v>0</v>
      </c>
      <c r="H111" s="82">
        <f t="shared" si="140"/>
        <v>0</v>
      </c>
      <c r="I111" s="82">
        <f t="shared" si="110"/>
        <v>0</v>
      </c>
      <c r="J111" s="82">
        <f t="shared" si="110"/>
        <v>0</v>
      </c>
      <c r="K111" s="82">
        <f t="shared" ref="K111:L111" si="141">(K14/K46-1)</f>
        <v>0</v>
      </c>
      <c r="L111" s="82">
        <f t="shared" si="141"/>
        <v>0</v>
      </c>
    </row>
    <row r="112" spans="2:12" x14ac:dyDescent="0.35">
      <c r="B112" t="s">
        <v>212</v>
      </c>
      <c r="C112" t="s">
        <v>213</v>
      </c>
      <c r="D112" s="82" t="e">
        <f t="shared" ref="D112" si="142">(D15/D47-1)</f>
        <v>#DIV/0!</v>
      </c>
      <c r="E112" s="82" t="e">
        <f t="shared" ref="E112:H112" si="143">(E15/E47-1)</f>
        <v>#DIV/0!</v>
      </c>
      <c r="F112" s="82" t="e">
        <f t="shared" si="143"/>
        <v>#DIV/0!</v>
      </c>
      <c r="G112" s="82" t="e">
        <f t="shared" si="143"/>
        <v>#DIV/0!</v>
      </c>
      <c r="H112" s="82" t="e">
        <f t="shared" si="143"/>
        <v>#DIV/0!</v>
      </c>
      <c r="I112" s="82" t="e">
        <f t="shared" si="110"/>
        <v>#DIV/0!</v>
      </c>
      <c r="J112" s="82" t="e">
        <f t="shared" si="110"/>
        <v>#DIV/0!</v>
      </c>
      <c r="K112" s="82" t="e">
        <f t="shared" ref="K112:L112" si="144">(K15/K47-1)</f>
        <v>#DIV/0!</v>
      </c>
      <c r="L112" s="82" t="e">
        <f t="shared" si="144"/>
        <v>#DIV/0!</v>
      </c>
    </row>
    <row r="113" spans="2:12" x14ac:dyDescent="0.35">
      <c r="B113" t="s">
        <v>214</v>
      </c>
      <c r="C113" t="s">
        <v>215</v>
      </c>
      <c r="D113" s="82" t="e">
        <f t="shared" ref="D113" si="145">(D16/D48-1)</f>
        <v>#DIV/0!</v>
      </c>
      <c r="E113" s="82" t="e">
        <f t="shared" ref="E113:H113" si="146">(E16/E48-1)</f>
        <v>#DIV/0!</v>
      </c>
      <c r="F113" s="82" t="e">
        <f t="shared" si="146"/>
        <v>#DIV/0!</v>
      </c>
      <c r="G113" s="82" t="e">
        <f t="shared" si="146"/>
        <v>#DIV/0!</v>
      </c>
      <c r="H113" s="82" t="e">
        <f t="shared" si="146"/>
        <v>#DIV/0!</v>
      </c>
      <c r="I113" s="82" t="e">
        <f t="shared" si="110"/>
        <v>#DIV/0!</v>
      </c>
      <c r="J113" s="82" t="e">
        <f t="shared" si="110"/>
        <v>#DIV/0!</v>
      </c>
      <c r="K113" s="82" t="e">
        <f t="shared" ref="K113:L113" si="147">(K16/K48-1)</f>
        <v>#DIV/0!</v>
      </c>
      <c r="L113" s="82" t="e">
        <f t="shared" si="147"/>
        <v>#DIV/0!</v>
      </c>
    </row>
    <row r="114" spans="2:12" x14ac:dyDescent="0.35">
      <c r="B114" t="s">
        <v>216</v>
      </c>
      <c r="C114" t="s">
        <v>217</v>
      </c>
      <c r="D114" s="82">
        <f t="shared" ref="D114" si="148">(D17/D49-1)</f>
        <v>0</v>
      </c>
      <c r="E114" s="82">
        <f t="shared" ref="E114:H114" si="149">(E17/E49-1)</f>
        <v>0</v>
      </c>
      <c r="F114" s="82">
        <f t="shared" si="149"/>
        <v>0</v>
      </c>
      <c r="G114" s="82">
        <f t="shared" si="149"/>
        <v>0</v>
      </c>
      <c r="H114" s="82" t="e">
        <f t="shared" si="149"/>
        <v>#DIV/0!</v>
      </c>
      <c r="I114" s="82" t="e">
        <f t="shared" si="110"/>
        <v>#DIV/0!</v>
      </c>
      <c r="J114" s="82" t="e">
        <f t="shared" si="110"/>
        <v>#DIV/0!</v>
      </c>
      <c r="K114" s="82" t="e">
        <f t="shared" ref="K114:L114" si="150">(K17/K49-1)</f>
        <v>#DIV/0!</v>
      </c>
      <c r="L114" s="82" t="e">
        <f t="shared" si="150"/>
        <v>#DIV/0!</v>
      </c>
    </row>
    <row r="115" spans="2:12" x14ac:dyDescent="0.35">
      <c r="B115" t="s">
        <v>218</v>
      </c>
      <c r="C115" t="s">
        <v>219</v>
      </c>
      <c r="D115" s="82">
        <f t="shared" ref="D115" si="151">(D18/D50-1)</f>
        <v>0</v>
      </c>
      <c r="E115" s="82">
        <f t="shared" ref="E115:H115" si="152">(E18/E50-1)</f>
        <v>0</v>
      </c>
      <c r="F115" s="82">
        <f t="shared" si="152"/>
        <v>0</v>
      </c>
      <c r="G115" s="82">
        <f t="shared" si="152"/>
        <v>0</v>
      </c>
      <c r="H115" s="82" t="e">
        <f t="shared" si="152"/>
        <v>#DIV/0!</v>
      </c>
      <c r="I115" s="82" t="e">
        <f t="shared" si="110"/>
        <v>#DIV/0!</v>
      </c>
      <c r="J115" s="82" t="e">
        <f t="shared" si="110"/>
        <v>#DIV/0!</v>
      </c>
      <c r="K115" s="82" t="e">
        <f t="shared" ref="K115:L115" si="153">(K18/K50-1)</f>
        <v>#DIV/0!</v>
      </c>
      <c r="L115" s="82" t="e">
        <f t="shared" si="153"/>
        <v>#DIV/0!</v>
      </c>
    </row>
    <row r="116" spans="2:12" x14ac:dyDescent="0.35">
      <c r="B116" t="s">
        <v>220</v>
      </c>
      <c r="C116" t="s">
        <v>221</v>
      </c>
      <c r="D116" s="82">
        <f t="shared" ref="D116" si="154">(D19/D51-1)</f>
        <v>0</v>
      </c>
      <c r="E116" s="82">
        <f t="shared" ref="E116:H116" si="155">(E19/E51-1)</f>
        <v>0</v>
      </c>
      <c r="F116" s="82">
        <f t="shared" si="155"/>
        <v>0</v>
      </c>
      <c r="G116" s="82">
        <f t="shared" si="155"/>
        <v>-3.5129926893919805E-3</v>
      </c>
      <c r="H116" s="82">
        <f t="shared" si="155"/>
        <v>-3.4442088070146815E-3</v>
      </c>
      <c r="I116" s="82">
        <f t="shared" si="110"/>
        <v>-3.4353329462161186E-3</v>
      </c>
      <c r="J116" s="82">
        <f t="shared" si="110"/>
        <v>-3.4239561460610579E-3</v>
      </c>
      <c r="K116" s="82">
        <f t="shared" ref="K116:L116" si="156">(K19/K51-1)</f>
        <v>-6.9084711872356985E-3</v>
      </c>
      <c r="L116" s="82">
        <f t="shared" si="156"/>
        <v>-6.7675612247279915E-3</v>
      </c>
    </row>
    <row r="117" spans="2:12" x14ac:dyDescent="0.35">
      <c r="B117" t="s">
        <v>222</v>
      </c>
      <c r="C117" t="s">
        <v>223</v>
      </c>
      <c r="D117" s="82">
        <f t="shared" ref="D117" si="157">(D20/D52-1)</f>
        <v>0</v>
      </c>
      <c r="E117" s="82">
        <f t="shared" ref="E117:H117" si="158">(E20/E52-1)</f>
        <v>0</v>
      </c>
      <c r="F117" s="82">
        <f t="shared" si="158"/>
        <v>0</v>
      </c>
      <c r="G117" s="82">
        <f t="shared" si="158"/>
        <v>0</v>
      </c>
      <c r="H117" s="82">
        <f t="shared" si="158"/>
        <v>0</v>
      </c>
      <c r="I117" s="82">
        <f t="shared" si="110"/>
        <v>0</v>
      </c>
      <c r="J117" s="82">
        <f t="shared" si="110"/>
        <v>0</v>
      </c>
      <c r="K117" s="82">
        <f t="shared" ref="K117:L117" si="159">(K20/K52-1)</f>
        <v>0</v>
      </c>
      <c r="L117" s="82">
        <f t="shared" si="159"/>
        <v>0</v>
      </c>
    </row>
    <row r="118" spans="2:12" x14ac:dyDescent="0.35">
      <c r="B118" t="s">
        <v>224</v>
      </c>
      <c r="C118" t="s">
        <v>225</v>
      </c>
      <c r="D118" s="82">
        <f t="shared" ref="D118" si="160">(D21/D53-1)</f>
        <v>0</v>
      </c>
      <c r="E118" s="82">
        <f t="shared" ref="E118:H118" si="161">(E21/E53-1)</f>
        <v>0</v>
      </c>
      <c r="F118" s="82">
        <f t="shared" si="161"/>
        <v>0</v>
      </c>
      <c r="G118" s="82">
        <f t="shared" si="161"/>
        <v>0</v>
      </c>
      <c r="H118" s="82">
        <f t="shared" si="161"/>
        <v>-2.1489371842309701E-2</v>
      </c>
      <c r="I118" s="82">
        <f t="shared" si="110"/>
        <v>-2.1449782125637307E-2</v>
      </c>
      <c r="J118" s="82">
        <f t="shared" si="110"/>
        <v>-2.1409593880969857E-2</v>
      </c>
      <c r="K118" s="82">
        <f t="shared" ref="K118:L118" si="162">(K21/K53-1)</f>
        <v>-2.1368820660088494E-2</v>
      </c>
      <c r="L118" s="82">
        <f t="shared" si="162"/>
        <v>-2.7972611411596682E-2</v>
      </c>
    </row>
    <row r="119" spans="2:12" x14ac:dyDescent="0.35">
      <c r="B119" t="s">
        <v>226</v>
      </c>
      <c r="C119" t="s">
        <v>227</v>
      </c>
      <c r="D119" s="82">
        <f t="shared" ref="D119" si="163">(D22/D54-1)</f>
        <v>0</v>
      </c>
      <c r="E119" s="82">
        <f t="shared" ref="E119:H119" si="164">(E22/E54-1)</f>
        <v>0</v>
      </c>
      <c r="F119" s="82">
        <f t="shared" si="164"/>
        <v>0</v>
      </c>
      <c r="G119" s="82">
        <f t="shared" si="164"/>
        <v>0</v>
      </c>
      <c r="H119" s="82">
        <f t="shared" si="164"/>
        <v>0</v>
      </c>
      <c r="I119" s="82">
        <f t="shared" si="110"/>
        <v>0</v>
      </c>
      <c r="J119" s="82">
        <f t="shared" si="110"/>
        <v>0</v>
      </c>
      <c r="K119" s="82">
        <f t="shared" ref="K119:L119" si="165">(K22/K54-1)</f>
        <v>0</v>
      </c>
      <c r="L119" s="82">
        <f t="shared" si="165"/>
        <v>0</v>
      </c>
    </row>
    <row r="120" spans="2:12" x14ac:dyDescent="0.35">
      <c r="B120" t="s">
        <v>228</v>
      </c>
      <c r="C120" t="s">
        <v>229</v>
      </c>
      <c r="D120" s="82">
        <f t="shared" ref="D120" si="166">(D23/D55-1)</f>
        <v>0</v>
      </c>
      <c r="E120" s="82">
        <f t="shared" ref="E120:H120" si="167">(E23/E55-1)</f>
        <v>0</v>
      </c>
      <c r="F120" s="82">
        <f t="shared" si="167"/>
        <v>-0.7212577756403673</v>
      </c>
      <c r="G120" s="82">
        <f t="shared" si="167"/>
        <v>-0.7212577756403673</v>
      </c>
      <c r="H120" s="82">
        <f t="shared" si="167"/>
        <v>-0.2496961300742746</v>
      </c>
      <c r="I120" s="82">
        <f t="shared" si="110"/>
        <v>-0.24969613007427471</v>
      </c>
      <c r="J120" s="82">
        <f t="shared" si="110"/>
        <v>-0.24969613007427482</v>
      </c>
      <c r="K120" s="82">
        <f t="shared" ref="K120:L120" si="168">(K23/K55-1)</f>
        <v>-0.24969613007427482</v>
      </c>
      <c r="L120" s="82">
        <f t="shared" si="168"/>
        <v>-0.22780001669651684</v>
      </c>
    </row>
    <row r="121" spans="2:12" x14ac:dyDescent="0.35">
      <c r="B121" t="s">
        <v>230</v>
      </c>
      <c r="C121" t="s">
        <v>231</v>
      </c>
      <c r="D121" s="82">
        <f t="shared" ref="D121" si="169">(D24/D56-1)</f>
        <v>0</v>
      </c>
      <c r="E121" s="82">
        <f t="shared" ref="E121:H121" si="170">(E24/E56-1)</f>
        <v>0</v>
      </c>
      <c r="F121" s="82">
        <f t="shared" si="170"/>
        <v>0</v>
      </c>
      <c r="G121" s="82">
        <f t="shared" si="170"/>
        <v>0</v>
      </c>
      <c r="H121" s="82">
        <f t="shared" si="170"/>
        <v>0</v>
      </c>
      <c r="I121" s="82">
        <f t="shared" si="110"/>
        <v>0</v>
      </c>
      <c r="J121" s="82">
        <f t="shared" si="110"/>
        <v>0</v>
      </c>
      <c r="K121" s="82">
        <f t="shared" ref="K121:L121" si="171">(K24/K56-1)</f>
        <v>0</v>
      </c>
      <c r="L121" s="82">
        <f t="shared" si="171"/>
        <v>0</v>
      </c>
    </row>
    <row r="122" spans="2:12" x14ac:dyDescent="0.35">
      <c r="B122" s="56" t="s">
        <v>1379</v>
      </c>
      <c r="C122" s="56" t="s">
        <v>1378</v>
      </c>
      <c r="D122" s="82">
        <f t="shared" ref="D122" si="172">(D25/D57-1)</f>
        <v>-4.1580953201771198</v>
      </c>
      <c r="E122" s="82">
        <f t="shared" ref="E122:H122" si="173">(E25/E57-1)</f>
        <v>-4.1204674857656585</v>
      </c>
      <c r="F122" s="82">
        <f t="shared" si="173"/>
        <v>-4.0846548429524479</v>
      </c>
      <c r="G122" s="82">
        <f t="shared" si="173"/>
        <v>-4.047778505560176</v>
      </c>
      <c r="H122" s="82">
        <f t="shared" si="173"/>
        <v>-4.047778505560176</v>
      </c>
      <c r="I122" s="82">
        <f t="shared" si="110"/>
        <v>-4.047778505560176</v>
      </c>
      <c r="J122" s="82" t="e">
        <f t="shared" si="110"/>
        <v>#DIV/0!</v>
      </c>
      <c r="K122" s="82" t="e">
        <f t="shared" ref="K122:L122" si="174">(K25/K57-1)</f>
        <v>#DIV/0!</v>
      </c>
      <c r="L122" s="82" t="e">
        <f t="shared" si="174"/>
        <v>#DIV/0!</v>
      </c>
    </row>
    <row r="123" spans="2:12" x14ac:dyDescent="0.35">
      <c r="B123" s="56"/>
      <c r="D123" s="82"/>
    </row>
    <row r="124" spans="2:12" x14ac:dyDescent="0.35">
      <c r="B124" s="69" t="s">
        <v>1888</v>
      </c>
      <c r="D124" s="82"/>
    </row>
    <row r="125" spans="2:12" x14ac:dyDescent="0.35">
      <c r="B125" s="56" t="s">
        <v>1702</v>
      </c>
      <c r="D125" s="82">
        <f t="shared" ref="D125:E125" si="175">(D28/D60-1)</f>
        <v>0</v>
      </c>
      <c r="E125" s="82">
        <f t="shared" si="175"/>
        <v>0</v>
      </c>
      <c r="F125" s="82">
        <f t="shared" ref="F125:H125" si="176">(F28/F60-1)</f>
        <v>0</v>
      </c>
      <c r="G125" s="82">
        <f t="shared" si="176"/>
        <v>0</v>
      </c>
      <c r="H125" s="82">
        <f t="shared" si="176"/>
        <v>0</v>
      </c>
      <c r="I125" s="82">
        <f t="shared" ref="I125:J129" si="177">(I28/I60-1)</f>
        <v>0</v>
      </c>
      <c r="J125" s="82">
        <f t="shared" si="177"/>
        <v>0</v>
      </c>
      <c r="K125" s="82">
        <f t="shared" ref="K125:L125" si="178">(K28/K60-1)</f>
        <v>0</v>
      </c>
      <c r="L125" s="82">
        <f t="shared" si="178"/>
        <v>0</v>
      </c>
    </row>
    <row r="126" spans="2:12" x14ac:dyDescent="0.35">
      <c r="B126" s="56" t="s">
        <v>1703</v>
      </c>
      <c r="D126" s="82">
        <f t="shared" ref="D126:E126" si="179">(D29/D61-1)</f>
        <v>0</v>
      </c>
      <c r="E126" s="82">
        <f t="shared" si="179"/>
        <v>0</v>
      </c>
      <c r="F126" s="82">
        <f t="shared" ref="F126:H126" si="180">(F29/F61-1)</f>
        <v>0</v>
      </c>
      <c r="G126" s="82">
        <f t="shared" si="180"/>
        <v>0</v>
      </c>
      <c r="H126" s="82">
        <f t="shared" si="180"/>
        <v>0</v>
      </c>
      <c r="I126" s="82">
        <f t="shared" si="177"/>
        <v>0</v>
      </c>
      <c r="J126" s="82">
        <f t="shared" si="177"/>
        <v>0</v>
      </c>
      <c r="K126" s="82">
        <f t="shared" ref="K126:L126" si="181">(K29/K61-1)</f>
        <v>0</v>
      </c>
      <c r="L126" s="82">
        <f t="shared" si="181"/>
        <v>0</v>
      </c>
    </row>
    <row r="127" spans="2:12" x14ac:dyDescent="0.35">
      <c r="B127" s="56" t="s">
        <v>1704</v>
      </c>
      <c r="D127" s="82">
        <f t="shared" ref="D127:E127" si="182">(D30/D62-1)</f>
        <v>0</v>
      </c>
      <c r="E127" s="82">
        <f t="shared" si="182"/>
        <v>0</v>
      </c>
      <c r="F127" s="82">
        <f t="shared" ref="F127:H127" si="183">(F30/F62-1)</f>
        <v>0</v>
      </c>
      <c r="G127" s="82">
        <f t="shared" si="183"/>
        <v>0</v>
      </c>
      <c r="H127" s="82">
        <f t="shared" si="183"/>
        <v>0</v>
      </c>
      <c r="I127" s="82">
        <f t="shared" si="177"/>
        <v>0</v>
      </c>
      <c r="J127" s="82">
        <f t="shared" si="177"/>
        <v>0</v>
      </c>
      <c r="K127" s="82">
        <f t="shared" ref="K127:L127" si="184">(K30/K62-1)</f>
        <v>0</v>
      </c>
      <c r="L127" s="82">
        <f t="shared" si="184"/>
        <v>0</v>
      </c>
    </row>
    <row r="128" spans="2:12" x14ac:dyDescent="0.35">
      <c r="B128" s="56" t="s">
        <v>1705</v>
      </c>
      <c r="D128" s="82">
        <f t="shared" ref="D128:E128" si="185">(D31/D63-1)</f>
        <v>0</v>
      </c>
      <c r="E128" s="82">
        <f t="shared" si="185"/>
        <v>0</v>
      </c>
      <c r="F128" s="82">
        <f t="shared" ref="F128:H128" si="186">(F31/F63-1)</f>
        <v>0</v>
      </c>
      <c r="G128" s="82">
        <f t="shared" si="186"/>
        <v>0</v>
      </c>
      <c r="H128" s="82">
        <f t="shared" si="186"/>
        <v>0</v>
      </c>
      <c r="I128" s="82">
        <f t="shared" si="177"/>
        <v>0</v>
      </c>
      <c r="J128" s="82">
        <f t="shared" si="177"/>
        <v>0</v>
      </c>
      <c r="K128" s="82">
        <f t="shared" ref="K128:L128" si="187">(K31/K63-1)</f>
        <v>0</v>
      </c>
      <c r="L128" s="82">
        <f t="shared" si="187"/>
        <v>0</v>
      </c>
    </row>
    <row r="129" spans="2:12" x14ac:dyDescent="0.35">
      <c r="B129" s="56" t="s">
        <v>1706</v>
      </c>
      <c r="D129" s="82">
        <f t="shared" ref="D129:E129" si="188">(D32/D64-1)</f>
        <v>0</v>
      </c>
      <c r="E129" s="82">
        <f t="shared" si="188"/>
        <v>0</v>
      </c>
      <c r="F129" s="82">
        <f t="shared" ref="F129:H129" si="189">(F32/F64-1)</f>
        <v>0</v>
      </c>
      <c r="G129" s="82">
        <f t="shared" si="189"/>
        <v>0</v>
      </c>
      <c r="H129" s="82">
        <f t="shared" si="189"/>
        <v>0</v>
      </c>
      <c r="I129" s="82">
        <f t="shared" si="177"/>
        <v>0</v>
      </c>
      <c r="J129" s="82">
        <f t="shared" si="177"/>
        <v>0</v>
      </c>
      <c r="K129" s="82">
        <f t="shared" ref="K129:L129" si="190">(K32/K64-1)</f>
        <v>0</v>
      </c>
      <c r="L129" s="82">
        <f t="shared" si="190"/>
        <v>0</v>
      </c>
    </row>
  </sheetData>
  <mergeCells count="4">
    <mergeCell ref="B2:L2"/>
    <mergeCell ref="B34:L34"/>
    <mergeCell ref="B66:L66"/>
    <mergeCell ref="B99:L99"/>
  </mergeCells>
  <conditionalFormatting sqref="D68:L91 D92:K97 L93:L97 E101:L122 D101:D124 D125:L129">
    <cfRule type="cellIs" dxfId="1" priority="3" operator="lessThan">
      <formula>0</formula>
    </cfRule>
    <cfRule type="cellIs" dxfId="0" priority="4" operator="greaterThan">
      <formula>0</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3"/>
  <sheetViews>
    <sheetView zoomScaleNormal="100" workbookViewId="0">
      <pane xSplit="2" ySplit="7" topLeftCell="Y74"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7" ht="21" customHeight="1" x14ac:dyDescent="0.5">
      <c r="A2" s="1325" t="s">
        <v>1804</v>
      </c>
      <c r="B2" s="1325"/>
      <c r="C2" s="1325"/>
      <c r="D2" s="1325"/>
      <c r="E2" s="1325"/>
      <c r="F2" s="1325"/>
      <c r="G2" s="1325"/>
      <c r="H2" s="1325"/>
      <c r="I2" s="1325"/>
      <c r="J2" s="1325"/>
      <c r="K2" s="120"/>
      <c r="L2" s="194"/>
      <c r="M2" s="205"/>
      <c r="N2" s="183"/>
      <c r="O2" s="194"/>
      <c r="P2" s="205"/>
      <c r="Q2" s="183"/>
      <c r="R2" s="194"/>
      <c r="S2" s="205"/>
      <c r="T2" s="183"/>
      <c r="U2" s="194"/>
      <c r="V2" s="205"/>
      <c r="W2" s="183"/>
      <c r="X2" s="194"/>
      <c r="Y2" s="205"/>
      <c r="Z2" s="183"/>
      <c r="AA2" s="194"/>
      <c r="AB2" s="205"/>
      <c r="AC2" s="183"/>
      <c r="AD2" s="194"/>
      <c r="AE2" s="205"/>
      <c r="AF2" s="89"/>
      <c r="AG2" s="126"/>
      <c r="AH2" s="127"/>
      <c r="AI2" s="87"/>
      <c r="AJ2" s="107"/>
      <c r="AK2" s="1208"/>
    </row>
    <row r="3" spans="1:37" x14ac:dyDescent="0.35">
      <c r="A3" s="69" t="s">
        <v>879</v>
      </c>
      <c r="B3" s="69"/>
      <c r="C3" s="69"/>
      <c r="D3" s="69"/>
      <c r="E3" s="69"/>
      <c r="F3" s="69"/>
      <c r="G3" s="69"/>
      <c r="H3" s="69"/>
      <c r="I3" s="69"/>
      <c r="J3" s="69"/>
      <c r="K3" s="69"/>
      <c r="L3" s="195"/>
      <c r="M3" s="206"/>
      <c r="N3" s="89"/>
      <c r="O3" s="195"/>
      <c r="P3" s="206"/>
      <c r="Q3" s="89"/>
      <c r="R3" s="195"/>
      <c r="S3" s="206"/>
      <c r="T3" s="89"/>
      <c r="U3" s="195"/>
      <c r="V3" s="206"/>
      <c r="W3" s="89"/>
      <c r="X3" s="195"/>
      <c r="Y3" s="206"/>
      <c r="Z3" s="89"/>
      <c r="AA3" s="195"/>
      <c r="AB3" s="206"/>
      <c r="AC3" s="89"/>
      <c r="AD3" s="195"/>
      <c r="AE3" s="206"/>
      <c r="AF3" s="89"/>
      <c r="AG3" s="126"/>
      <c r="AH3" s="127"/>
      <c r="AI3" s="87"/>
      <c r="AJ3" s="107"/>
      <c r="AK3" s="1208"/>
    </row>
    <row r="4" spans="1:37" ht="15" customHeight="1" x14ac:dyDescent="0.35">
      <c r="A4" s="1326"/>
      <c r="B4" s="1326"/>
      <c r="C4" s="1326"/>
      <c r="D4" s="70"/>
      <c r="E4" s="70"/>
      <c r="F4" s="70"/>
      <c r="G4" s="70"/>
      <c r="H4" s="70"/>
      <c r="I4" s="70"/>
      <c r="J4" s="70"/>
      <c r="K4" s="70"/>
      <c r="L4" s="196"/>
      <c r="M4" s="209"/>
      <c r="N4" s="185"/>
      <c r="O4" s="196"/>
      <c r="P4" s="209"/>
      <c r="Q4" s="185"/>
      <c r="R4" s="196"/>
      <c r="S4" s="209"/>
      <c r="T4" s="185"/>
      <c r="U4" s="196"/>
      <c r="V4" s="209"/>
      <c r="W4" s="185"/>
      <c r="X4" s="196"/>
      <c r="Y4" s="209"/>
      <c r="Z4" s="185"/>
      <c r="AA4" s="196"/>
      <c r="AB4" s="209"/>
      <c r="AC4" s="185"/>
      <c r="AD4" s="196"/>
      <c r="AE4" s="209"/>
      <c r="AF4" s="88"/>
      <c r="AG4" s="126"/>
      <c r="AH4" s="127"/>
      <c r="AI4" s="87"/>
      <c r="AJ4" s="107"/>
      <c r="AK4" s="1208"/>
    </row>
    <row r="5" spans="1:37" x14ac:dyDescent="0.35">
      <c r="A5" s="1327" t="s">
        <v>813</v>
      </c>
      <c r="B5" s="1330"/>
      <c r="C5" s="1333" t="s">
        <v>891</v>
      </c>
      <c r="D5" s="1333" t="s">
        <v>891</v>
      </c>
      <c r="E5" s="1333" t="s">
        <v>891</v>
      </c>
      <c r="F5" s="1333" t="s">
        <v>891</v>
      </c>
      <c r="G5" s="1333" t="s">
        <v>891</v>
      </c>
      <c r="H5" s="1333" t="s">
        <v>891</v>
      </c>
      <c r="I5" s="1333" t="s">
        <v>891</v>
      </c>
      <c r="J5" s="1334" t="s">
        <v>891</v>
      </c>
      <c r="K5" s="149"/>
      <c r="L5" s="197"/>
      <c r="M5" s="99"/>
      <c r="N5" s="186"/>
      <c r="O5" s="197"/>
      <c r="P5" s="99"/>
      <c r="Q5" s="186"/>
      <c r="R5" s="197"/>
      <c r="S5" s="99"/>
      <c r="T5" s="186"/>
      <c r="U5" s="197"/>
      <c r="V5" s="99"/>
      <c r="W5" s="186"/>
      <c r="X5" s="197"/>
      <c r="Y5" s="99"/>
      <c r="Z5" s="186"/>
      <c r="AA5" s="197"/>
      <c r="AB5" s="99"/>
      <c r="AC5" s="186"/>
      <c r="AD5" s="197"/>
      <c r="AE5" s="99"/>
      <c r="AF5" s="88"/>
      <c r="AG5" s="126"/>
      <c r="AH5" s="127"/>
      <c r="AI5" s="87"/>
      <c r="AJ5" s="107"/>
      <c r="AK5" s="1208"/>
    </row>
    <row r="6" spans="1:37" x14ac:dyDescent="0.35">
      <c r="A6" s="1328" t="s">
        <v>813</v>
      </c>
      <c r="B6" s="1331"/>
      <c r="C6" s="1335">
        <v>2022</v>
      </c>
      <c r="D6" s="1336"/>
      <c r="E6" s="1336"/>
      <c r="F6" s="1336"/>
      <c r="G6" s="1336"/>
      <c r="H6" s="1337"/>
      <c r="I6" s="1335">
        <v>2023</v>
      </c>
      <c r="J6" s="1336">
        <v>2023</v>
      </c>
      <c r="K6" s="1337">
        <v>2023</v>
      </c>
      <c r="L6" s="198"/>
      <c r="M6" s="103"/>
      <c r="N6" s="187"/>
      <c r="O6" s="198"/>
      <c r="P6" s="103"/>
      <c r="Q6" s="187"/>
      <c r="R6" s="198"/>
      <c r="S6" s="103"/>
      <c r="T6" s="187"/>
      <c r="U6" s="198"/>
      <c r="V6" s="103"/>
      <c r="W6" s="187"/>
      <c r="X6" s="198"/>
      <c r="Y6" s="103"/>
      <c r="Z6" s="187"/>
      <c r="AA6" s="198"/>
      <c r="AB6" s="103"/>
      <c r="AC6" s="187"/>
      <c r="AD6" s="198"/>
      <c r="AE6" s="103"/>
      <c r="AF6" s="88"/>
      <c r="AG6" s="126"/>
      <c r="AH6" s="127"/>
      <c r="AI6" s="87"/>
      <c r="AJ6" s="107"/>
      <c r="AK6" s="1208"/>
    </row>
    <row r="7" spans="1:37" ht="32.5" customHeight="1" x14ac:dyDescent="0.35">
      <c r="A7" s="1329" t="s">
        <v>813</v>
      </c>
      <c r="B7" s="1332"/>
      <c r="C7" s="152" t="s">
        <v>1746</v>
      </c>
      <c r="D7" s="152" t="s">
        <v>1823</v>
      </c>
      <c r="E7" s="152" t="s">
        <v>1824</v>
      </c>
      <c r="F7" s="152" t="s">
        <v>1828</v>
      </c>
      <c r="G7" s="152" t="s">
        <v>1829</v>
      </c>
      <c r="H7" s="152" t="s">
        <v>1830</v>
      </c>
      <c r="I7" s="152" t="s">
        <v>234</v>
      </c>
      <c r="J7" s="152" t="s">
        <v>235</v>
      </c>
      <c r="K7" s="152" t="s">
        <v>1878</v>
      </c>
      <c r="L7" s="121" t="s">
        <v>1886</v>
      </c>
      <c r="M7" s="130" t="s">
        <v>1887</v>
      </c>
      <c r="N7" s="136" t="s">
        <v>1892</v>
      </c>
      <c r="O7" s="121" t="s">
        <v>1893</v>
      </c>
      <c r="P7" s="130" t="s">
        <v>1823</v>
      </c>
      <c r="Q7" s="136" t="s">
        <v>1824</v>
      </c>
      <c r="R7" s="121" t="s">
        <v>1828</v>
      </c>
      <c r="S7" s="130" t="s">
        <v>1926</v>
      </c>
      <c r="T7" s="136" t="s">
        <v>1920</v>
      </c>
      <c r="U7" s="121" t="s">
        <v>234</v>
      </c>
      <c r="V7" s="130" t="s">
        <v>235</v>
      </c>
      <c r="W7" s="136" t="s">
        <v>1878</v>
      </c>
      <c r="X7" s="121" t="s">
        <v>1958</v>
      </c>
      <c r="Y7" s="130" t="s">
        <v>907</v>
      </c>
      <c r="Z7" s="136" t="s">
        <v>1892</v>
      </c>
      <c r="AA7" s="121" t="s">
        <v>1893</v>
      </c>
      <c r="AB7" s="130" t="s">
        <v>1823</v>
      </c>
      <c r="AC7" s="136" t="s">
        <v>1824</v>
      </c>
      <c r="AD7" s="197" t="s">
        <v>1959</v>
      </c>
      <c r="AE7" s="99" t="s">
        <v>1990</v>
      </c>
      <c r="AF7" s="88" t="s">
        <v>1991</v>
      </c>
      <c r="AG7" s="126" t="s">
        <v>1982</v>
      </c>
      <c r="AH7" s="127" t="s">
        <v>1983</v>
      </c>
      <c r="AI7" s="88" t="s">
        <v>1992</v>
      </c>
      <c r="AJ7" s="107" t="s">
        <v>2304</v>
      </c>
      <c r="AK7" s="1208" t="s">
        <v>2305</v>
      </c>
    </row>
    <row r="8" spans="1:37" x14ac:dyDescent="0.35">
      <c r="A8" s="145">
        <v>1</v>
      </c>
      <c r="B8" s="47" t="s">
        <v>239</v>
      </c>
      <c r="C8" s="153">
        <v>21852.3</v>
      </c>
      <c r="D8" s="153">
        <v>21975.8</v>
      </c>
      <c r="E8" s="154">
        <v>22080.400000000001</v>
      </c>
      <c r="F8" s="154">
        <v>22201.9</v>
      </c>
      <c r="G8" s="154">
        <v>22240.1</v>
      </c>
      <c r="H8" s="154">
        <v>22281.9</v>
      </c>
      <c r="I8" s="153">
        <v>22525.3</v>
      </c>
      <c r="J8" s="154">
        <v>22648.400000000001</v>
      </c>
      <c r="K8" s="153">
        <v>22757.9</v>
      </c>
      <c r="L8" s="123">
        <v>22806.1</v>
      </c>
      <c r="M8" s="131">
        <v>22876.6</v>
      </c>
      <c r="N8" s="168">
        <v>22921.4</v>
      </c>
      <c r="O8" s="100">
        <v>22986.400000000001</v>
      </c>
      <c r="P8" s="131">
        <v>23094.5</v>
      </c>
      <c r="Q8" s="168">
        <v>23176.2</v>
      </c>
      <c r="R8" s="123">
        <v>23189.4</v>
      </c>
      <c r="S8" s="131">
        <v>23241.5</v>
      </c>
      <c r="T8" s="207">
        <v>23311.599999999999</v>
      </c>
      <c r="U8" s="100">
        <v>24226.7</v>
      </c>
      <c r="V8" s="131">
        <v>24330.9</v>
      </c>
      <c r="W8" s="207">
        <v>24474.9</v>
      </c>
      <c r="X8" s="123">
        <v>24511.1</v>
      </c>
      <c r="Y8" s="131">
        <v>24584.2</v>
      </c>
      <c r="Z8" s="207">
        <v>24626.7</v>
      </c>
      <c r="AA8" s="123">
        <v>24669.3</v>
      </c>
      <c r="AB8" s="131">
        <v>24701.3</v>
      </c>
      <c r="AC8" s="137">
        <v>24779.7</v>
      </c>
      <c r="AD8" s="124">
        <v>24950.6</v>
      </c>
      <c r="AE8" s="132">
        <v>25037.1</v>
      </c>
      <c r="AF8" s="89">
        <v>25139.1</v>
      </c>
      <c r="AG8" s="195">
        <v>25274.9</v>
      </c>
      <c r="AH8" s="206">
        <v>25456</v>
      </c>
      <c r="AI8" s="89">
        <v>25619.3</v>
      </c>
      <c r="AJ8" s="107">
        <v>25807.5</v>
      </c>
      <c r="AK8" s="1208">
        <v>25698</v>
      </c>
    </row>
    <row r="9" spans="1:37" x14ac:dyDescent="0.35">
      <c r="A9" s="146">
        <v>2</v>
      </c>
      <c r="B9" s="179" t="s">
        <v>1747</v>
      </c>
      <c r="C9" s="155">
        <v>13654.1</v>
      </c>
      <c r="D9" s="155">
        <v>13754.9</v>
      </c>
      <c r="E9" s="156">
        <v>13856.1</v>
      </c>
      <c r="F9" s="156">
        <v>13828.8</v>
      </c>
      <c r="G9" s="156">
        <v>13822.8</v>
      </c>
      <c r="H9" s="156">
        <v>13832.7</v>
      </c>
      <c r="I9" s="155">
        <v>13885.2</v>
      </c>
      <c r="J9" s="156">
        <v>13968.7</v>
      </c>
      <c r="K9" s="155">
        <v>14041.7</v>
      </c>
      <c r="L9" s="124">
        <v>14092.7</v>
      </c>
      <c r="M9" s="132">
        <v>14151.1</v>
      </c>
      <c r="N9" s="170">
        <v>14218.6</v>
      </c>
      <c r="O9" s="101">
        <v>14296.4</v>
      </c>
      <c r="P9" s="132">
        <v>14372.7</v>
      </c>
      <c r="Q9" s="170">
        <v>14437.1</v>
      </c>
      <c r="R9" s="124">
        <v>14416.2</v>
      </c>
      <c r="S9" s="132">
        <v>14436.6</v>
      </c>
      <c r="T9" s="208">
        <v>14491.6</v>
      </c>
      <c r="U9" s="101">
        <v>14686.6</v>
      </c>
      <c r="V9" s="132">
        <v>14836.5</v>
      </c>
      <c r="W9" s="208">
        <v>14948.1</v>
      </c>
      <c r="X9" s="124">
        <v>14914.1</v>
      </c>
      <c r="Y9" s="132">
        <v>14955.1</v>
      </c>
      <c r="Z9" s="208">
        <v>14967.6</v>
      </c>
      <c r="AA9" s="124">
        <v>14987</v>
      </c>
      <c r="AB9" s="132">
        <v>15038.4</v>
      </c>
      <c r="AC9" s="138">
        <v>15082.8</v>
      </c>
      <c r="AD9" s="124">
        <v>15184.8</v>
      </c>
      <c r="AE9" s="132">
        <v>15283.5</v>
      </c>
      <c r="AF9" s="89">
        <v>15354.2</v>
      </c>
      <c r="AG9" s="195">
        <v>15400.3</v>
      </c>
      <c r="AH9" s="206">
        <v>15473.1</v>
      </c>
      <c r="AI9" s="89">
        <v>15554.5</v>
      </c>
      <c r="AJ9" s="107">
        <v>15622.8</v>
      </c>
      <c r="AK9" s="1208">
        <v>15684.7</v>
      </c>
    </row>
    <row r="10" spans="1:37" x14ac:dyDescent="0.35">
      <c r="A10" s="146">
        <v>3</v>
      </c>
      <c r="B10" s="180" t="s">
        <v>1748</v>
      </c>
      <c r="C10" s="155">
        <v>11271.8</v>
      </c>
      <c r="D10" s="155">
        <v>11360.7</v>
      </c>
      <c r="E10" s="156">
        <v>11450.6</v>
      </c>
      <c r="F10" s="156">
        <v>11420.4</v>
      </c>
      <c r="G10" s="156">
        <v>11408.7</v>
      </c>
      <c r="H10" s="156">
        <v>11412.7</v>
      </c>
      <c r="I10" s="155">
        <v>11494.7</v>
      </c>
      <c r="J10" s="156">
        <v>11568.5</v>
      </c>
      <c r="K10" s="155">
        <v>11633.1</v>
      </c>
      <c r="L10" s="124">
        <v>11680.1</v>
      </c>
      <c r="M10" s="132">
        <v>11730.8</v>
      </c>
      <c r="N10" s="170">
        <v>11788.9</v>
      </c>
      <c r="O10" s="101">
        <v>11855.6</v>
      </c>
      <c r="P10" s="132">
        <v>11921.2</v>
      </c>
      <c r="Q10" s="170">
        <v>11975.7</v>
      </c>
      <c r="R10" s="124">
        <v>11950.9</v>
      </c>
      <c r="S10" s="132">
        <v>11965.4</v>
      </c>
      <c r="T10" s="208">
        <v>12011.8</v>
      </c>
      <c r="U10" s="101">
        <v>12129</v>
      </c>
      <c r="V10" s="132">
        <v>12263.3</v>
      </c>
      <c r="W10" s="208">
        <v>12360.5</v>
      </c>
      <c r="X10" s="124">
        <v>12321.5</v>
      </c>
      <c r="Y10" s="132">
        <v>12352.2</v>
      </c>
      <c r="Z10" s="208">
        <v>12355.3</v>
      </c>
      <c r="AA10" s="124">
        <v>12365.5</v>
      </c>
      <c r="AB10" s="132">
        <v>12406.1</v>
      </c>
      <c r="AC10" s="138">
        <v>12440.6</v>
      </c>
      <c r="AD10" s="124">
        <v>12528.7</v>
      </c>
      <c r="AE10" s="132">
        <v>12614.8</v>
      </c>
      <c r="AF10" s="89">
        <v>12675.1</v>
      </c>
      <c r="AG10" s="195">
        <v>12705.8</v>
      </c>
      <c r="AH10" s="206">
        <v>12764.2</v>
      </c>
      <c r="AI10" s="89">
        <v>12831</v>
      </c>
      <c r="AJ10" s="107">
        <v>12885.7</v>
      </c>
      <c r="AK10" s="1208">
        <v>12934.8</v>
      </c>
    </row>
    <row r="11" spans="1:37" x14ac:dyDescent="0.35">
      <c r="A11" s="146">
        <v>4</v>
      </c>
      <c r="B11" s="184" t="s">
        <v>1749</v>
      </c>
      <c r="C11" s="157">
        <v>9656.4</v>
      </c>
      <c r="D11" s="157">
        <v>9735.9</v>
      </c>
      <c r="E11" s="158">
        <v>9819.5</v>
      </c>
      <c r="F11" s="158">
        <v>9785.7999999999993</v>
      </c>
      <c r="G11" s="158">
        <v>9763.9</v>
      </c>
      <c r="H11" s="158">
        <v>9762.2999999999993</v>
      </c>
      <c r="I11" s="157">
        <v>9818.2999999999993</v>
      </c>
      <c r="J11" s="158">
        <v>9882.7999999999993</v>
      </c>
      <c r="K11" s="157">
        <v>9937.7000000000007</v>
      </c>
      <c r="L11" s="125">
        <v>9976.9</v>
      </c>
      <c r="M11" s="133">
        <v>10019.799999999999</v>
      </c>
      <c r="N11" s="171">
        <v>10070.4</v>
      </c>
      <c r="O11" s="102">
        <v>10117.4</v>
      </c>
      <c r="P11" s="133">
        <v>10167.9</v>
      </c>
      <c r="Q11" s="171">
        <v>10207.1</v>
      </c>
      <c r="R11" s="125">
        <v>10171.700000000001</v>
      </c>
      <c r="S11" s="133">
        <v>10179.4</v>
      </c>
      <c r="T11" s="90">
        <v>10214.799999999999</v>
      </c>
      <c r="U11" s="102">
        <v>10325.4</v>
      </c>
      <c r="V11" s="133">
        <v>10447.5</v>
      </c>
      <c r="W11" s="90">
        <v>10531.2</v>
      </c>
      <c r="X11" s="125">
        <v>10485.8</v>
      </c>
      <c r="Y11" s="133">
        <v>10509.4</v>
      </c>
      <c r="Z11" s="90">
        <v>10504</v>
      </c>
      <c r="AA11" s="125">
        <v>10506.5</v>
      </c>
      <c r="AB11" s="133">
        <v>10539.4</v>
      </c>
      <c r="AC11" s="139">
        <v>10566.5</v>
      </c>
      <c r="AD11" s="125">
        <v>10642.4</v>
      </c>
      <c r="AE11" s="133">
        <v>10721</v>
      </c>
      <c r="AF11" s="88">
        <v>10772.2</v>
      </c>
      <c r="AG11" s="126">
        <v>10794</v>
      </c>
      <c r="AH11" s="127">
        <v>10846.4</v>
      </c>
      <c r="AI11" s="88">
        <v>10906.7</v>
      </c>
      <c r="AJ11" s="107">
        <v>10952.1</v>
      </c>
      <c r="AK11" s="1208">
        <v>10995.5</v>
      </c>
    </row>
    <row r="12" spans="1:37" x14ac:dyDescent="0.35">
      <c r="A12" s="146">
        <v>5</v>
      </c>
      <c r="B12" s="181" t="s">
        <v>1750</v>
      </c>
      <c r="C12" s="157">
        <v>1767.7</v>
      </c>
      <c r="D12" s="157">
        <v>1780.1</v>
      </c>
      <c r="E12" s="158">
        <v>1797.4</v>
      </c>
      <c r="F12" s="158">
        <v>1795.8</v>
      </c>
      <c r="G12" s="158">
        <v>1793.7</v>
      </c>
      <c r="H12" s="158">
        <v>1789.6</v>
      </c>
      <c r="I12" s="157">
        <v>1804.5</v>
      </c>
      <c r="J12" s="158">
        <v>1806.7</v>
      </c>
      <c r="K12" s="157">
        <v>1818.5</v>
      </c>
      <c r="L12" s="125">
        <v>1828.4</v>
      </c>
      <c r="M12" s="133">
        <v>1836.7</v>
      </c>
      <c r="N12" s="171">
        <v>1847.2</v>
      </c>
      <c r="O12" s="102">
        <v>1859</v>
      </c>
      <c r="P12" s="133">
        <v>1867.1</v>
      </c>
      <c r="Q12" s="171">
        <v>1876.1</v>
      </c>
      <c r="R12" s="125">
        <v>1875.9</v>
      </c>
      <c r="S12" s="133">
        <v>1879.8</v>
      </c>
      <c r="T12" s="90">
        <v>1881.1</v>
      </c>
      <c r="U12" s="102">
        <v>1904</v>
      </c>
      <c r="V12" s="133">
        <v>1929.1</v>
      </c>
      <c r="W12" s="90">
        <v>1951.7</v>
      </c>
      <c r="X12" s="125">
        <v>1920.1</v>
      </c>
      <c r="Y12" s="133">
        <v>1907.4</v>
      </c>
      <c r="Z12" s="90">
        <v>1904.4</v>
      </c>
      <c r="AA12" s="125">
        <v>1910.1</v>
      </c>
      <c r="AB12" s="133">
        <v>1920.6</v>
      </c>
      <c r="AC12" s="139">
        <v>1929.1</v>
      </c>
      <c r="AD12" s="125">
        <v>1926.8</v>
      </c>
      <c r="AE12" s="133">
        <v>1937.7</v>
      </c>
      <c r="AF12" s="88">
        <v>1945.4</v>
      </c>
      <c r="AG12" s="126">
        <v>1949.2</v>
      </c>
      <c r="AH12" s="127">
        <v>1961.7</v>
      </c>
      <c r="AI12" s="88">
        <v>1975.1</v>
      </c>
      <c r="AJ12" s="107">
        <v>1973.7</v>
      </c>
      <c r="AK12" s="1208">
        <v>1981.2</v>
      </c>
    </row>
    <row r="13" spans="1:37" x14ac:dyDescent="0.35">
      <c r="A13" s="146">
        <v>6</v>
      </c>
      <c r="B13" s="193" t="s">
        <v>1751</v>
      </c>
      <c r="C13" s="157">
        <v>1046.3</v>
      </c>
      <c r="D13" s="157">
        <v>1054.4000000000001</v>
      </c>
      <c r="E13" s="158">
        <v>1064.8</v>
      </c>
      <c r="F13" s="158">
        <v>1061.4000000000001</v>
      </c>
      <c r="G13" s="158">
        <v>1055.5</v>
      </c>
      <c r="H13" s="158">
        <v>1046.9000000000001</v>
      </c>
      <c r="I13" s="157">
        <v>1066</v>
      </c>
      <c r="J13" s="158">
        <v>1064.3</v>
      </c>
      <c r="K13" s="157">
        <v>1071.2</v>
      </c>
      <c r="L13" s="125">
        <v>1077.3</v>
      </c>
      <c r="M13" s="133">
        <v>1079.5</v>
      </c>
      <c r="N13" s="171">
        <v>1088.5999999999999</v>
      </c>
      <c r="O13" s="102">
        <v>1096.9000000000001</v>
      </c>
      <c r="P13" s="133">
        <v>1102.2</v>
      </c>
      <c r="Q13" s="171">
        <v>1108.5999999999999</v>
      </c>
      <c r="R13" s="125">
        <v>1103.3</v>
      </c>
      <c r="S13" s="133">
        <v>1103.3</v>
      </c>
      <c r="T13" s="90">
        <v>1101</v>
      </c>
      <c r="U13" s="102">
        <v>1108.9000000000001</v>
      </c>
      <c r="V13" s="133">
        <v>1124</v>
      </c>
      <c r="W13" s="90">
        <v>1136.7</v>
      </c>
      <c r="X13" s="125">
        <v>1112.5</v>
      </c>
      <c r="Y13" s="133">
        <v>1106.2</v>
      </c>
      <c r="Z13" s="90">
        <v>1102.7</v>
      </c>
      <c r="AA13" s="125">
        <v>1108.0999999999999</v>
      </c>
      <c r="AB13" s="133">
        <v>1112.9000000000001</v>
      </c>
      <c r="AC13" s="139">
        <v>1115.4000000000001</v>
      </c>
      <c r="AD13" s="125">
        <v>1107.2</v>
      </c>
      <c r="AE13" s="133">
        <v>1113.0999999999999</v>
      </c>
      <c r="AF13" s="88">
        <v>1117</v>
      </c>
      <c r="AG13" s="126">
        <v>1119.4000000000001</v>
      </c>
      <c r="AH13" s="127">
        <v>1131.2</v>
      </c>
      <c r="AI13" s="88">
        <v>1144.3</v>
      </c>
      <c r="AJ13" s="107">
        <v>1138.2</v>
      </c>
      <c r="AK13" s="1208">
        <v>1144.9000000000001</v>
      </c>
    </row>
    <row r="14" spans="1:37" x14ac:dyDescent="0.35">
      <c r="A14" s="146">
        <v>7</v>
      </c>
      <c r="B14" s="181" t="s">
        <v>1752</v>
      </c>
      <c r="C14" s="157">
        <v>7888.7</v>
      </c>
      <c r="D14" s="157">
        <v>7955.8</v>
      </c>
      <c r="E14" s="158">
        <v>8022.1</v>
      </c>
      <c r="F14" s="158">
        <v>7990</v>
      </c>
      <c r="G14" s="158">
        <v>7970.1</v>
      </c>
      <c r="H14" s="158">
        <v>7972.7</v>
      </c>
      <c r="I14" s="157">
        <v>8013.8</v>
      </c>
      <c r="J14" s="158">
        <v>8076.2</v>
      </c>
      <c r="K14" s="157">
        <v>8119.2</v>
      </c>
      <c r="L14" s="125">
        <v>8148.5</v>
      </c>
      <c r="M14" s="133">
        <v>8183.1</v>
      </c>
      <c r="N14" s="171">
        <v>8223.2000000000007</v>
      </c>
      <c r="O14" s="102">
        <v>8258.4</v>
      </c>
      <c r="P14" s="133">
        <v>8300.7999999999993</v>
      </c>
      <c r="Q14" s="171">
        <v>8331</v>
      </c>
      <c r="R14" s="125">
        <v>8295.7000000000007</v>
      </c>
      <c r="S14" s="133">
        <v>8299.6</v>
      </c>
      <c r="T14" s="90">
        <v>8333.7000000000007</v>
      </c>
      <c r="U14" s="102">
        <v>8421.4</v>
      </c>
      <c r="V14" s="133">
        <v>8518.5</v>
      </c>
      <c r="W14" s="90">
        <v>8579.5</v>
      </c>
      <c r="X14" s="125">
        <v>8565.7000000000007</v>
      </c>
      <c r="Y14" s="133">
        <v>8601.9</v>
      </c>
      <c r="Z14" s="90">
        <v>8599.6</v>
      </c>
      <c r="AA14" s="125">
        <v>8596.5</v>
      </c>
      <c r="AB14" s="133">
        <v>8618.7999999999993</v>
      </c>
      <c r="AC14" s="139">
        <v>8637.4</v>
      </c>
      <c r="AD14" s="125">
        <v>8715.5</v>
      </c>
      <c r="AE14" s="133">
        <v>8783.2999999999993</v>
      </c>
      <c r="AF14" s="88">
        <v>8826.7999999999993</v>
      </c>
      <c r="AG14" s="126">
        <v>8844.9</v>
      </c>
      <c r="AH14" s="127">
        <v>8884.7000000000007</v>
      </c>
      <c r="AI14" s="88">
        <v>8931.6</v>
      </c>
      <c r="AJ14" s="107">
        <v>8978.4</v>
      </c>
      <c r="AK14" s="1208">
        <v>9014.2000000000007</v>
      </c>
    </row>
    <row r="15" spans="1:37" x14ac:dyDescent="0.35">
      <c r="A15" s="146">
        <v>8</v>
      </c>
      <c r="B15" s="199" t="s">
        <v>1753</v>
      </c>
      <c r="C15" s="157">
        <v>1734</v>
      </c>
      <c r="D15" s="157">
        <v>1748.4</v>
      </c>
      <c r="E15" s="158">
        <v>1762.3</v>
      </c>
      <c r="F15" s="158">
        <v>1757.7</v>
      </c>
      <c r="G15" s="158">
        <v>1749.7</v>
      </c>
      <c r="H15" s="158">
        <v>1745.6</v>
      </c>
      <c r="I15" s="157">
        <v>1778.8</v>
      </c>
      <c r="J15" s="158">
        <v>1795.8</v>
      </c>
      <c r="K15" s="157">
        <v>1796</v>
      </c>
      <c r="L15" s="125">
        <v>1797.8</v>
      </c>
      <c r="M15" s="133">
        <v>1793.1</v>
      </c>
      <c r="N15" s="171">
        <v>1804.5</v>
      </c>
      <c r="O15" s="102">
        <v>1816.7</v>
      </c>
      <c r="P15" s="133">
        <v>1828</v>
      </c>
      <c r="Q15" s="171">
        <v>1837.3</v>
      </c>
      <c r="R15" s="125">
        <v>1825.7</v>
      </c>
      <c r="S15" s="133">
        <v>1822.5</v>
      </c>
      <c r="T15" s="90">
        <v>1833.5</v>
      </c>
      <c r="U15" s="102">
        <v>1842.8</v>
      </c>
      <c r="V15" s="133">
        <v>1865</v>
      </c>
      <c r="W15" s="90">
        <v>1867.7</v>
      </c>
      <c r="X15" s="125">
        <v>1863.4</v>
      </c>
      <c r="Y15" s="133">
        <v>1873.4</v>
      </c>
      <c r="Z15" s="90">
        <v>1874.4</v>
      </c>
      <c r="AA15" s="125">
        <v>1866</v>
      </c>
      <c r="AB15" s="133">
        <v>1870.2</v>
      </c>
      <c r="AC15" s="139">
        <v>1867.4</v>
      </c>
      <c r="AD15" s="125">
        <v>1882.5</v>
      </c>
      <c r="AE15" s="133">
        <v>1880.7</v>
      </c>
      <c r="AF15" s="88">
        <v>1892.2</v>
      </c>
      <c r="AG15" s="126">
        <v>1894.4</v>
      </c>
      <c r="AH15" s="127">
        <v>1910.4</v>
      </c>
      <c r="AI15" s="88">
        <v>1915.6</v>
      </c>
      <c r="AJ15" s="107">
        <v>1929.4</v>
      </c>
      <c r="AK15" s="1208">
        <v>1930.5</v>
      </c>
    </row>
    <row r="16" spans="1:37" x14ac:dyDescent="0.35">
      <c r="A16" s="146">
        <v>9</v>
      </c>
      <c r="B16" s="199" t="s">
        <v>1754</v>
      </c>
      <c r="C16" s="157">
        <v>6154.8</v>
      </c>
      <c r="D16" s="157">
        <v>6207.4</v>
      </c>
      <c r="E16" s="158">
        <v>6259.8</v>
      </c>
      <c r="F16" s="158">
        <v>6232.2</v>
      </c>
      <c r="G16" s="158">
        <v>6220.4</v>
      </c>
      <c r="H16" s="158">
        <v>6227.2</v>
      </c>
      <c r="I16" s="157">
        <v>6235</v>
      </c>
      <c r="J16" s="158">
        <v>6280.4</v>
      </c>
      <c r="K16" s="157">
        <v>6323.1</v>
      </c>
      <c r="L16" s="125">
        <v>6350.7</v>
      </c>
      <c r="M16" s="133">
        <v>6390</v>
      </c>
      <c r="N16" s="171">
        <v>6418.7</v>
      </c>
      <c r="O16" s="102">
        <v>6441.7</v>
      </c>
      <c r="P16" s="133">
        <v>6472.8</v>
      </c>
      <c r="Q16" s="171">
        <v>6493.8</v>
      </c>
      <c r="R16" s="125">
        <v>6470.1</v>
      </c>
      <c r="S16" s="133">
        <v>6477.1</v>
      </c>
      <c r="T16" s="90">
        <v>6500.2</v>
      </c>
      <c r="U16" s="102">
        <v>6578.6</v>
      </c>
      <c r="V16" s="133">
        <v>6653.4</v>
      </c>
      <c r="W16" s="90">
        <v>6711.8</v>
      </c>
      <c r="X16" s="125">
        <v>6702.3</v>
      </c>
      <c r="Y16" s="133">
        <v>6728.5</v>
      </c>
      <c r="Z16" s="90">
        <v>6725.2</v>
      </c>
      <c r="AA16" s="125">
        <v>6730.5</v>
      </c>
      <c r="AB16" s="133">
        <v>6748.6</v>
      </c>
      <c r="AC16" s="139">
        <v>6770.1</v>
      </c>
      <c r="AD16" s="125">
        <v>6833.1</v>
      </c>
      <c r="AE16" s="133">
        <v>6902.6</v>
      </c>
      <c r="AF16" s="88">
        <v>6934.6</v>
      </c>
      <c r="AG16" s="126">
        <v>6950.5</v>
      </c>
      <c r="AH16" s="127">
        <v>6974.4</v>
      </c>
      <c r="AI16" s="88">
        <v>7016</v>
      </c>
      <c r="AJ16" s="107">
        <v>7049</v>
      </c>
      <c r="AK16" s="1208">
        <v>7083.7</v>
      </c>
    </row>
    <row r="17" spans="1:40" ht="16.399999999999999" customHeight="1" x14ac:dyDescent="0.35">
      <c r="A17" s="146">
        <v>10</v>
      </c>
      <c r="B17" s="184" t="s">
        <v>1755</v>
      </c>
      <c r="C17" s="157">
        <v>1615.4</v>
      </c>
      <c r="D17" s="157">
        <v>1624.8</v>
      </c>
      <c r="E17" s="158">
        <v>1631.1</v>
      </c>
      <c r="F17" s="158">
        <v>1634.6</v>
      </c>
      <c r="G17" s="158">
        <v>1644.8</v>
      </c>
      <c r="H17" s="158">
        <v>1650.4</v>
      </c>
      <c r="I17" s="157">
        <v>1676.4</v>
      </c>
      <c r="J17" s="158">
        <v>1685.7</v>
      </c>
      <c r="K17" s="157">
        <v>1695.5</v>
      </c>
      <c r="L17" s="125">
        <v>1703.2</v>
      </c>
      <c r="M17" s="133">
        <v>1711</v>
      </c>
      <c r="N17" s="171">
        <v>1718.6</v>
      </c>
      <c r="O17" s="102">
        <v>1738.2</v>
      </c>
      <c r="P17" s="133">
        <v>1753.3</v>
      </c>
      <c r="Q17" s="171">
        <v>1768.6</v>
      </c>
      <c r="R17" s="125">
        <v>1779.3</v>
      </c>
      <c r="S17" s="133">
        <v>1786</v>
      </c>
      <c r="T17" s="90">
        <v>1797</v>
      </c>
      <c r="U17" s="102">
        <v>1803.6</v>
      </c>
      <c r="V17" s="133">
        <v>1815.8</v>
      </c>
      <c r="W17" s="90">
        <v>1829.3</v>
      </c>
      <c r="X17" s="125">
        <v>1835.7</v>
      </c>
      <c r="Y17" s="133">
        <v>1842.9</v>
      </c>
      <c r="Z17" s="90">
        <v>1851.3</v>
      </c>
      <c r="AA17" s="125">
        <v>1859</v>
      </c>
      <c r="AB17" s="133">
        <v>1866.6</v>
      </c>
      <c r="AC17" s="139">
        <v>1874.1</v>
      </c>
      <c r="AD17" s="125">
        <v>1886.3</v>
      </c>
      <c r="AE17" s="133">
        <v>1893.8</v>
      </c>
      <c r="AF17" s="88">
        <v>1902.9</v>
      </c>
      <c r="AG17" s="126">
        <v>1911.8</v>
      </c>
      <c r="AH17" s="127">
        <v>1917.8</v>
      </c>
      <c r="AI17" s="88">
        <v>1924.2</v>
      </c>
      <c r="AJ17" s="107">
        <v>1933.6</v>
      </c>
      <c r="AK17" s="1208">
        <v>1939.3</v>
      </c>
    </row>
    <row r="18" spans="1:40" ht="16.399999999999999" customHeight="1" x14ac:dyDescent="0.35">
      <c r="A18" s="146">
        <v>11</v>
      </c>
      <c r="B18" s="180" t="s">
        <v>1756</v>
      </c>
      <c r="C18" s="155">
        <v>2382.3000000000002</v>
      </c>
      <c r="D18" s="155">
        <v>2394.1</v>
      </c>
      <c r="E18" s="156">
        <v>2405.5</v>
      </c>
      <c r="F18" s="156">
        <v>2408.5</v>
      </c>
      <c r="G18" s="156">
        <v>2414.1</v>
      </c>
      <c r="H18" s="156">
        <v>2420</v>
      </c>
      <c r="I18" s="155">
        <v>2390.6</v>
      </c>
      <c r="J18" s="156">
        <v>2400.1999999999998</v>
      </c>
      <c r="K18" s="155">
        <v>2408.6</v>
      </c>
      <c r="L18" s="124">
        <v>2412.6</v>
      </c>
      <c r="M18" s="132">
        <v>2420.3000000000002</v>
      </c>
      <c r="N18" s="170">
        <v>2429.6</v>
      </c>
      <c r="O18" s="101">
        <v>2440.8000000000002</v>
      </c>
      <c r="P18" s="132">
        <v>2451.5</v>
      </c>
      <c r="Q18" s="170">
        <v>2461.4</v>
      </c>
      <c r="R18" s="124">
        <v>2465.3000000000002</v>
      </c>
      <c r="S18" s="132">
        <v>2471.1999999999998</v>
      </c>
      <c r="T18" s="208">
        <v>2479.8000000000002</v>
      </c>
      <c r="U18" s="101">
        <v>2557.6</v>
      </c>
      <c r="V18" s="132">
        <v>2573.1999999999998</v>
      </c>
      <c r="W18" s="208">
        <v>2587.6</v>
      </c>
      <c r="X18" s="124">
        <v>2592.6</v>
      </c>
      <c r="Y18" s="132">
        <v>2602.9</v>
      </c>
      <c r="Z18" s="208">
        <v>2612.3000000000002</v>
      </c>
      <c r="AA18" s="124">
        <v>2621.5</v>
      </c>
      <c r="AB18" s="132">
        <v>2632.3</v>
      </c>
      <c r="AC18" s="138">
        <v>2642.2</v>
      </c>
      <c r="AD18" s="124">
        <v>2656.1</v>
      </c>
      <c r="AE18" s="132">
        <v>2668.7</v>
      </c>
      <c r="AF18" s="89">
        <v>2679.1</v>
      </c>
      <c r="AG18" s="195">
        <v>2694.5</v>
      </c>
      <c r="AH18" s="206">
        <v>2708.9</v>
      </c>
      <c r="AI18" s="89">
        <v>2723.5</v>
      </c>
      <c r="AJ18" s="107">
        <v>2737.1</v>
      </c>
      <c r="AK18" s="1208">
        <v>2749.9</v>
      </c>
    </row>
    <row r="19" spans="1:40" ht="16.5" customHeight="1" x14ac:dyDescent="0.35">
      <c r="A19" s="147">
        <v>12</v>
      </c>
      <c r="B19" s="116" t="s">
        <v>1757</v>
      </c>
      <c r="C19" s="157">
        <v>1614.2</v>
      </c>
      <c r="D19" s="157">
        <v>1620.2</v>
      </c>
      <c r="E19" s="158">
        <v>1625.6</v>
      </c>
      <c r="F19" s="158">
        <v>1630.6</v>
      </c>
      <c r="G19" s="158">
        <v>1637.1</v>
      </c>
      <c r="H19" s="158">
        <v>1642.9</v>
      </c>
      <c r="I19" s="157">
        <v>1594</v>
      </c>
      <c r="J19" s="158">
        <v>1599</v>
      </c>
      <c r="K19" s="157">
        <v>1603.5</v>
      </c>
      <c r="L19" s="125">
        <v>1604.7</v>
      </c>
      <c r="M19" s="133">
        <v>1609.4</v>
      </c>
      <c r="N19" s="171">
        <v>1615</v>
      </c>
      <c r="O19" s="102">
        <v>1622</v>
      </c>
      <c r="P19" s="133">
        <v>1628.6</v>
      </c>
      <c r="Q19" s="171">
        <v>1635</v>
      </c>
      <c r="R19" s="125">
        <v>1640.6</v>
      </c>
      <c r="S19" s="133">
        <v>1645.5</v>
      </c>
      <c r="T19" s="90">
        <v>1650.9</v>
      </c>
      <c r="U19" s="102">
        <v>1712.3</v>
      </c>
      <c r="V19" s="133">
        <v>1722.8</v>
      </c>
      <c r="W19" s="90">
        <v>1733</v>
      </c>
      <c r="X19" s="125">
        <v>1741.4</v>
      </c>
      <c r="Y19" s="133">
        <v>1749.9</v>
      </c>
      <c r="Z19" s="90">
        <v>1759.5</v>
      </c>
      <c r="AA19" s="125">
        <v>1768.4</v>
      </c>
      <c r="AB19" s="133">
        <v>1776.8</v>
      </c>
      <c r="AC19" s="139">
        <v>1784.6</v>
      </c>
      <c r="AD19" s="125">
        <v>1792.7</v>
      </c>
      <c r="AE19" s="133">
        <v>1799.5</v>
      </c>
      <c r="AF19" s="88">
        <v>1805.8</v>
      </c>
      <c r="AG19" s="126">
        <v>1816.9</v>
      </c>
      <c r="AH19" s="127">
        <v>1827.3</v>
      </c>
      <c r="AI19" s="88">
        <v>1837.5</v>
      </c>
      <c r="AJ19" s="107">
        <v>1847.5</v>
      </c>
      <c r="AK19" s="1208">
        <v>1857</v>
      </c>
    </row>
    <row r="20" spans="1:40" x14ac:dyDescent="0.35">
      <c r="A20" s="147">
        <v>13</v>
      </c>
      <c r="B20" s="116" t="s">
        <v>1758</v>
      </c>
      <c r="C20" s="157">
        <v>768.1</v>
      </c>
      <c r="D20" s="157">
        <v>774</v>
      </c>
      <c r="E20" s="158">
        <v>779.9</v>
      </c>
      <c r="F20" s="158">
        <v>777.9</v>
      </c>
      <c r="G20" s="158">
        <v>777</v>
      </c>
      <c r="H20" s="158">
        <v>777.1</v>
      </c>
      <c r="I20" s="157">
        <v>796.6</v>
      </c>
      <c r="J20" s="158">
        <v>801.1</v>
      </c>
      <c r="K20" s="157">
        <v>805.1</v>
      </c>
      <c r="L20" s="125">
        <v>807.9</v>
      </c>
      <c r="M20" s="133">
        <v>811</v>
      </c>
      <c r="N20" s="171">
        <v>814.6</v>
      </c>
      <c r="O20" s="102">
        <v>818.7</v>
      </c>
      <c r="P20" s="133">
        <v>822.9</v>
      </c>
      <c r="Q20" s="171">
        <v>826.4</v>
      </c>
      <c r="R20" s="125">
        <v>824.7</v>
      </c>
      <c r="S20" s="133">
        <v>825.7</v>
      </c>
      <c r="T20" s="90">
        <v>828.9</v>
      </c>
      <c r="U20" s="102">
        <v>845.2</v>
      </c>
      <c r="V20" s="133">
        <v>850.4</v>
      </c>
      <c r="W20" s="90">
        <v>854.6</v>
      </c>
      <c r="X20" s="125">
        <v>851.3</v>
      </c>
      <c r="Y20" s="133">
        <v>853</v>
      </c>
      <c r="Z20" s="90">
        <v>852.7</v>
      </c>
      <c r="AA20" s="125">
        <v>853</v>
      </c>
      <c r="AB20" s="133">
        <v>855.5</v>
      </c>
      <c r="AC20" s="139">
        <v>857.6</v>
      </c>
      <c r="AD20" s="125">
        <v>863.4</v>
      </c>
      <c r="AE20" s="133">
        <v>869.3</v>
      </c>
      <c r="AF20" s="88">
        <v>873.3</v>
      </c>
      <c r="AG20" s="126">
        <v>877.6</v>
      </c>
      <c r="AH20" s="127">
        <v>881.6</v>
      </c>
      <c r="AI20" s="88">
        <v>886</v>
      </c>
      <c r="AJ20" s="107">
        <v>889.6</v>
      </c>
      <c r="AK20" s="1208">
        <v>893</v>
      </c>
    </row>
    <row r="21" spans="1:40" ht="16.399999999999999" customHeight="1" x14ac:dyDescent="0.35">
      <c r="A21" s="147">
        <v>14</v>
      </c>
      <c r="B21" s="98" t="s">
        <v>1759</v>
      </c>
      <c r="C21" s="155">
        <v>1846.5</v>
      </c>
      <c r="D21" s="155">
        <v>1869.7</v>
      </c>
      <c r="E21" s="156">
        <v>1874.4</v>
      </c>
      <c r="F21" s="156">
        <v>1877.2</v>
      </c>
      <c r="G21" s="156">
        <v>1882.7</v>
      </c>
      <c r="H21" s="156">
        <v>1888.6</v>
      </c>
      <c r="I21" s="155">
        <v>1832.2</v>
      </c>
      <c r="J21" s="156">
        <v>1828.6</v>
      </c>
      <c r="K21" s="155">
        <v>1821.5</v>
      </c>
      <c r="L21" s="124">
        <v>1821.1</v>
      </c>
      <c r="M21" s="132">
        <v>1821.3</v>
      </c>
      <c r="N21" s="170">
        <v>1829.9</v>
      </c>
      <c r="O21" s="101">
        <v>1839.7</v>
      </c>
      <c r="P21" s="132">
        <v>1861.1</v>
      </c>
      <c r="Q21" s="170">
        <v>1877.8</v>
      </c>
      <c r="R21" s="124">
        <v>1880.2</v>
      </c>
      <c r="S21" s="132">
        <v>1886.2</v>
      </c>
      <c r="T21" s="208">
        <v>1881.5</v>
      </c>
      <c r="U21" s="101">
        <v>1969.7</v>
      </c>
      <c r="V21" s="132">
        <v>1971.2</v>
      </c>
      <c r="W21" s="208">
        <v>1975.6</v>
      </c>
      <c r="X21" s="124">
        <v>1995.2</v>
      </c>
      <c r="Y21" s="132">
        <v>2003</v>
      </c>
      <c r="Z21" s="208">
        <v>2008.7</v>
      </c>
      <c r="AA21" s="124">
        <v>2014.2</v>
      </c>
      <c r="AB21" s="132">
        <v>2014.9</v>
      </c>
      <c r="AC21" s="138">
        <v>2011.4</v>
      </c>
      <c r="AD21" s="124">
        <v>2024.2</v>
      </c>
      <c r="AE21" s="132">
        <v>2033.9</v>
      </c>
      <c r="AF21" s="89">
        <v>2048.4</v>
      </c>
      <c r="AG21" s="195">
        <v>2040.3</v>
      </c>
      <c r="AH21" s="206">
        <v>2043.2</v>
      </c>
      <c r="AI21" s="89">
        <v>2076.1</v>
      </c>
      <c r="AJ21" s="107">
        <v>2101.3000000000002</v>
      </c>
      <c r="AK21" s="1208">
        <v>2052.8000000000002</v>
      </c>
    </row>
    <row r="22" spans="1:40" x14ac:dyDescent="0.35">
      <c r="A22" s="146">
        <v>15</v>
      </c>
      <c r="B22" s="45" t="s">
        <v>1760</v>
      </c>
      <c r="C22" s="157">
        <v>94.8</v>
      </c>
      <c r="D22" s="157">
        <v>95.9</v>
      </c>
      <c r="E22" s="158">
        <v>97.1</v>
      </c>
      <c r="F22" s="158">
        <v>99</v>
      </c>
      <c r="G22" s="158">
        <v>100.9</v>
      </c>
      <c r="H22" s="158">
        <v>102.8</v>
      </c>
      <c r="I22" s="157">
        <v>78.7</v>
      </c>
      <c r="J22" s="158">
        <v>71.2</v>
      </c>
      <c r="K22" s="157">
        <v>63.8</v>
      </c>
      <c r="L22" s="125">
        <v>61</v>
      </c>
      <c r="M22" s="133">
        <v>58.2</v>
      </c>
      <c r="N22" s="171">
        <v>55.5</v>
      </c>
      <c r="O22" s="102">
        <v>52.7</v>
      </c>
      <c r="P22" s="133">
        <v>49.9</v>
      </c>
      <c r="Q22" s="171">
        <v>47.2</v>
      </c>
      <c r="R22" s="125">
        <v>42.6</v>
      </c>
      <c r="S22" s="133">
        <v>38</v>
      </c>
      <c r="T22" s="90">
        <v>33.4</v>
      </c>
      <c r="U22" s="102">
        <v>39.5</v>
      </c>
      <c r="V22" s="133">
        <v>38.1</v>
      </c>
      <c r="W22" s="90">
        <v>37.9</v>
      </c>
      <c r="X22" s="125">
        <v>39.5</v>
      </c>
      <c r="Y22" s="133">
        <v>41.1</v>
      </c>
      <c r="Z22" s="90">
        <v>42.6</v>
      </c>
      <c r="AA22" s="125">
        <v>45.9</v>
      </c>
      <c r="AB22" s="133">
        <v>49.2</v>
      </c>
      <c r="AC22" s="139">
        <v>44.1</v>
      </c>
      <c r="AD22" s="125">
        <v>49.4</v>
      </c>
      <c r="AE22" s="133">
        <v>54.7</v>
      </c>
      <c r="AF22" s="88">
        <v>60.1</v>
      </c>
      <c r="AG22" s="126">
        <v>53</v>
      </c>
      <c r="AH22" s="127">
        <v>45.9</v>
      </c>
      <c r="AI22" s="88">
        <v>69.5</v>
      </c>
      <c r="AJ22" s="107">
        <v>82.7</v>
      </c>
      <c r="AK22" s="1208">
        <v>41.5</v>
      </c>
    </row>
    <row r="23" spans="1:40" x14ac:dyDescent="0.35">
      <c r="A23" s="146">
        <v>16</v>
      </c>
      <c r="B23" s="45" t="s">
        <v>1761</v>
      </c>
      <c r="C23" s="157">
        <v>1751.7</v>
      </c>
      <c r="D23" s="157">
        <v>1773.7</v>
      </c>
      <c r="E23" s="158">
        <v>1777.4</v>
      </c>
      <c r="F23" s="158">
        <v>1778.3</v>
      </c>
      <c r="G23" s="158">
        <v>1781.9</v>
      </c>
      <c r="H23" s="158">
        <v>1785.8</v>
      </c>
      <c r="I23" s="157">
        <v>1753.5</v>
      </c>
      <c r="J23" s="158">
        <v>1757.4</v>
      </c>
      <c r="K23" s="157">
        <v>1757.7</v>
      </c>
      <c r="L23" s="125">
        <v>1760.1</v>
      </c>
      <c r="M23" s="133">
        <v>1763.1</v>
      </c>
      <c r="N23" s="171">
        <v>1774.4</v>
      </c>
      <c r="O23" s="102">
        <v>1787</v>
      </c>
      <c r="P23" s="133">
        <v>1811.2</v>
      </c>
      <c r="Q23" s="171">
        <v>1830.6</v>
      </c>
      <c r="R23" s="125">
        <v>1837.6</v>
      </c>
      <c r="S23" s="133">
        <v>1848.2</v>
      </c>
      <c r="T23" s="90">
        <v>1848.1</v>
      </c>
      <c r="U23" s="102">
        <v>1930.1</v>
      </c>
      <c r="V23" s="133">
        <v>1933</v>
      </c>
      <c r="W23" s="90">
        <v>1937.7</v>
      </c>
      <c r="X23" s="125">
        <v>1955.7</v>
      </c>
      <c r="Y23" s="133">
        <v>1961.9</v>
      </c>
      <c r="Z23" s="90">
        <v>1966.1</v>
      </c>
      <c r="AA23" s="125">
        <v>1968.3</v>
      </c>
      <c r="AB23" s="133">
        <v>1965.7</v>
      </c>
      <c r="AC23" s="139">
        <v>1967.3</v>
      </c>
      <c r="AD23" s="125">
        <v>1974.8</v>
      </c>
      <c r="AE23" s="133">
        <v>1979.1</v>
      </c>
      <c r="AF23" s="88">
        <v>1988.4</v>
      </c>
      <c r="AG23" s="126">
        <v>1987.3</v>
      </c>
      <c r="AH23" s="127">
        <v>1997.4</v>
      </c>
      <c r="AI23" s="88">
        <v>2006.6</v>
      </c>
      <c r="AJ23" s="107">
        <v>2018.6</v>
      </c>
      <c r="AK23" s="1208">
        <v>2011.4</v>
      </c>
    </row>
    <row r="24" spans="1:40" x14ac:dyDescent="0.35">
      <c r="A24" s="147">
        <v>17</v>
      </c>
      <c r="B24" s="98" t="s">
        <v>1762</v>
      </c>
      <c r="C24" s="155">
        <v>792.9</v>
      </c>
      <c r="D24" s="155">
        <v>794.9</v>
      </c>
      <c r="E24" s="156">
        <v>797</v>
      </c>
      <c r="F24" s="156">
        <v>804.7</v>
      </c>
      <c r="G24" s="156">
        <v>810.6</v>
      </c>
      <c r="H24" s="156">
        <v>820</v>
      </c>
      <c r="I24" s="155">
        <v>930.9</v>
      </c>
      <c r="J24" s="156">
        <v>945.7</v>
      </c>
      <c r="K24" s="155">
        <v>960.7</v>
      </c>
      <c r="L24" s="124">
        <v>960.6</v>
      </c>
      <c r="M24" s="132">
        <v>960.8</v>
      </c>
      <c r="N24" s="170">
        <v>961.8</v>
      </c>
      <c r="O24" s="101">
        <v>967.2</v>
      </c>
      <c r="P24" s="132">
        <v>974.5</v>
      </c>
      <c r="Q24" s="170">
        <v>981.5</v>
      </c>
      <c r="R24" s="124">
        <v>985.3</v>
      </c>
      <c r="S24" s="132">
        <v>988.1</v>
      </c>
      <c r="T24" s="208">
        <v>991</v>
      </c>
      <c r="U24" s="101">
        <v>1032</v>
      </c>
      <c r="V24" s="132">
        <v>1046.4000000000001</v>
      </c>
      <c r="W24" s="208">
        <v>1059.9000000000001</v>
      </c>
      <c r="X24" s="124">
        <v>1060.7</v>
      </c>
      <c r="Y24" s="132">
        <v>1053.5</v>
      </c>
      <c r="Z24" s="208">
        <v>1046</v>
      </c>
      <c r="AA24" s="124">
        <v>1051</v>
      </c>
      <c r="AB24" s="132">
        <v>1055.7</v>
      </c>
      <c r="AC24" s="138">
        <v>1060.3</v>
      </c>
      <c r="AD24" s="124">
        <v>1069.2</v>
      </c>
      <c r="AE24" s="132">
        <v>1071</v>
      </c>
      <c r="AF24" s="89">
        <v>1076.5</v>
      </c>
      <c r="AG24" s="195">
        <v>1084</v>
      </c>
      <c r="AH24" s="206">
        <v>1092.4000000000001</v>
      </c>
      <c r="AI24" s="89">
        <v>1098.9000000000001</v>
      </c>
      <c r="AJ24" s="107">
        <v>1098.7</v>
      </c>
      <c r="AK24" s="1208">
        <v>1094.2</v>
      </c>
    </row>
    <row r="25" spans="1:40" x14ac:dyDescent="0.35">
      <c r="A25" s="146">
        <v>18</v>
      </c>
      <c r="B25" s="179" t="s">
        <v>1763</v>
      </c>
      <c r="C25" s="155">
        <v>3350.6</v>
      </c>
      <c r="D25" s="155">
        <v>3358.1</v>
      </c>
      <c r="E25" s="156">
        <v>3367.7</v>
      </c>
      <c r="F25" s="156">
        <v>3413.8</v>
      </c>
      <c r="G25" s="156">
        <v>3424.7</v>
      </c>
      <c r="H25" s="156">
        <v>3433.5</v>
      </c>
      <c r="I25" s="155">
        <v>3559.3</v>
      </c>
      <c r="J25" s="156">
        <v>3570.9</v>
      </c>
      <c r="K25" s="155">
        <v>3600.9</v>
      </c>
      <c r="L25" s="124">
        <v>3606.8</v>
      </c>
      <c r="M25" s="132">
        <v>3610.2</v>
      </c>
      <c r="N25" s="170">
        <v>3590.7</v>
      </c>
      <c r="O25" s="101">
        <v>3594.4</v>
      </c>
      <c r="P25" s="132">
        <v>3607.3</v>
      </c>
      <c r="Q25" s="170">
        <v>3617.9</v>
      </c>
      <c r="R25" s="124">
        <v>3645.6</v>
      </c>
      <c r="S25" s="132">
        <v>3672.7</v>
      </c>
      <c r="T25" s="208">
        <v>3683.6</v>
      </c>
      <c r="U25" s="101">
        <v>3999.7</v>
      </c>
      <c r="V25" s="132">
        <v>3912.2</v>
      </c>
      <c r="W25" s="208">
        <v>3904.9</v>
      </c>
      <c r="X25" s="124">
        <v>3929.6</v>
      </c>
      <c r="Y25" s="132">
        <v>3953.7</v>
      </c>
      <c r="Z25" s="208">
        <v>3967.4</v>
      </c>
      <c r="AA25" s="124">
        <v>3958.7</v>
      </c>
      <c r="AB25" s="132">
        <v>3929.7</v>
      </c>
      <c r="AC25" s="138">
        <v>3927.9</v>
      </c>
      <c r="AD25" s="124">
        <v>3963.6</v>
      </c>
      <c r="AE25" s="132">
        <v>3952.7</v>
      </c>
      <c r="AF25" s="89">
        <v>3958.6</v>
      </c>
      <c r="AG25" s="195">
        <v>3998.5</v>
      </c>
      <c r="AH25" s="206">
        <v>4007.7</v>
      </c>
      <c r="AI25" s="89">
        <v>4017</v>
      </c>
      <c r="AJ25" s="107">
        <v>3998.7</v>
      </c>
      <c r="AK25" s="1208">
        <v>3997</v>
      </c>
    </row>
    <row r="26" spans="1:40" x14ac:dyDescent="0.35">
      <c r="A26" s="146">
        <v>19</v>
      </c>
      <c r="B26" s="45" t="s">
        <v>1764</v>
      </c>
      <c r="C26" s="157">
        <v>1731.1</v>
      </c>
      <c r="D26" s="157">
        <v>1738</v>
      </c>
      <c r="E26" s="158">
        <v>1745.2</v>
      </c>
      <c r="F26" s="158">
        <v>1766.6</v>
      </c>
      <c r="G26" s="158">
        <v>1788.7</v>
      </c>
      <c r="H26" s="158">
        <v>1811.6</v>
      </c>
      <c r="I26" s="157">
        <v>1736.2</v>
      </c>
      <c r="J26" s="158">
        <v>1744.3</v>
      </c>
      <c r="K26" s="157">
        <v>1752.6</v>
      </c>
      <c r="L26" s="125">
        <v>1753.6</v>
      </c>
      <c r="M26" s="133">
        <v>1754.7</v>
      </c>
      <c r="N26" s="171">
        <v>1756.1</v>
      </c>
      <c r="O26" s="102">
        <v>1766.1</v>
      </c>
      <c r="P26" s="133">
        <v>1776.3</v>
      </c>
      <c r="Q26" s="171">
        <v>1786.7</v>
      </c>
      <c r="R26" s="125">
        <v>1801</v>
      </c>
      <c r="S26" s="133">
        <v>1815.5</v>
      </c>
      <c r="T26" s="90">
        <v>1830.2</v>
      </c>
      <c r="U26" s="102">
        <v>1967.6</v>
      </c>
      <c r="V26" s="133">
        <v>1951</v>
      </c>
      <c r="W26" s="90">
        <v>1934.3</v>
      </c>
      <c r="X26" s="125">
        <v>1950.4</v>
      </c>
      <c r="Y26" s="133">
        <v>1966.3</v>
      </c>
      <c r="Z26" s="90">
        <v>1982</v>
      </c>
      <c r="AA26" s="125">
        <v>1974.3</v>
      </c>
      <c r="AB26" s="133">
        <v>1966.4</v>
      </c>
      <c r="AC26" s="139">
        <v>1958.4</v>
      </c>
      <c r="AD26" s="125">
        <v>1966.8</v>
      </c>
      <c r="AE26" s="133">
        <v>1975.1</v>
      </c>
      <c r="AF26" s="88">
        <v>1983.3</v>
      </c>
      <c r="AG26" s="126">
        <v>1987.7</v>
      </c>
      <c r="AH26" s="127">
        <v>1992</v>
      </c>
      <c r="AI26" s="88">
        <v>1996.6</v>
      </c>
      <c r="AJ26" s="107">
        <v>1999.9</v>
      </c>
      <c r="AK26" s="1209">
        <v>2003.3</v>
      </c>
    </row>
    <row r="27" spans="1:40" x14ac:dyDescent="0.35">
      <c r="A27" s="146">
        <v>20</v>
      </c>
      <c r="B27" s="45" t="s">
        <v>1765</v>
      </c>
      <c r="C27" s="157">
        <v>1619.5</v>
      </c>
      <c r="D27" s="157">
        <v>1620.1</v>
      </c>
      <c r="E27" s="158">
        <v>1622.6</v>
      </c>
      <c r="F27" s="158">
        <v>1647.2</v>
      </c>
      <c r="G27" s="158">
        <v>1636</v>
      </c>
      <c r="H27" s="158">
        <v>1622</v>
      </c>
      <c r="I27" s="157">
        <v>1823.1</v>
      </c>
      <c r="J27" s="158">
        <v>1826.6</v>
      </c>
      <c r="K27" s="157">
        <v>1848.3</v>
      </c>
      <c r="L27" s="125">
        <v>1853.3</v>
      </c>
      <c r="M27" s="133">
        <v>1855.5</v>
      </c>
      <c r="N27" s="171">
        <v>1834.7</v>
      </c>
      <c r="O27" s="102">
        <v>1828.3</v>
      </c>
      <c r="P27" s="133">
        <v>1831</v>
      </c>
      <c r="Q27" s="171">
        <v>1831.2</v>
      </c>
      <c r="R27" s="125">
        <v>1844.6</v>
      </c>
      <c r="S27" s="133">
        <v>1857.2</v>
      </c>
      <c r="T27" s="90">
        <v>1853.4</v>
      </c>
      <c r="U27" s="102">
        <v>2032.1</v>
      </c>
      <c r="V27" s="133">
        <v>1961.2</v>
      </c>
      <c r="W27" s="90">
        <v>1970.6</v>
      </c>
      <c r="X27" s="125">
        <v>1979.2</v>
      </c>
      <c r="Y27" s="133">
        <v>1987.5</v>
      </c>
      <c r="Z27" s="90">
        <v>1985.3</v>
      </c>
      <c r="AA27" s="125">
        <v>1984.5</v>
      </c>
      <c r="AB27" s="133">
        <v>1963.3</v>
      </c>
      <c r="AC27" s="139">
        <v>1969.5</v>
      </c>
      <c r="AD27" s="125">
        <v>1996.8</v>
      </c>
      <c r="AE27" s="133">
        <v>1977.6</v>
      </c>
      <c r="AF27" s="88">
        <v>1975.3</v>
      </c>
      <c r="AG27" s="126">
        <v>2010.8</v>
      </c>
      <c r="AH27" s="127">
        <v>2015.6</v>
      </c>
      <c r="AI27" s="88">
        <v>2020.5</v>
      </c>
      <c r="AJ27" s="107">
        <v>1998.8</v>
      </c>
      <c r="AK27" s="1208">
        <v>1993.7</v>
      </c>
    </row>
    <row r="28" spans="1:40" x14ac:dyDescent="0.35">
      <c r="A28" s="146">
        <v>21</v>
      </c>
      <c r="B28" s="179" t="s">
        <v>1766</v>
      </c>
      <c r="C28" s="155">
        <v>3891.7</v>
      </c>
      <c r="D28" s="155">
        <v>3893.9</v>
      </c>
      <c r="E28" s="156">
        <v>3892.9</v>
      </c>
      <c r="F28" s="156">
        <v>3981.6</v>
      </c>
      <c r="G28" s="156">
        <v>4002.2</v>
      </c>
      <c r="H28" s="156">
        <v>4010.8</v>
      </c>
      <c r="I28" s="155">
        <v>4083.3</v>
      </c>
      <c r="J28" s="156">
        <v>4108.8</v>
      </c>
      <c r="K28" s="155">
        <v>4115.1000000000004</v>
      </c>
      <c r="L28" s="124">
        <v>4112.3</v>
      </c>
      <c r="M28" s="132">
        <v>4126.8</v>
      </c>
      <c r="N28" s="170">
        <v>4121.3</v>
      </c>
      <c r="O28" s="101">
        <v>4097.8999999999996</v>
      </c>
      <c r="P28" s="132">
        <v>4096.5</v>
      </c>
      <c r="Q28" s="170">
        <v>4086.6</v>
      </c>
      <c r="R28" s="124">
        <v>4083.8</v>
      </c>
      <c r="S28" s="132">
        <v>4082</v>
      </c>
      <c r="T28" s="208">
        <v>4094.6</v>
      </c>
      <c r="U28" s="101">
        <v>4411.3</v>
      </c>
      <c r="V28" s="132">
        <v>4448.1000000000004</v>
      </c>
      <c r="W28" s="208">
        <v>4478.8999999999996</v>
      </c>
      <c r="X28" s="124">
        <v>4498.6000000000004</v>
      </c>
      <c r="Y28" s="132">
        <v>4510.1000000000004</v>
      </c>
      <c r="Z28" s="208">
        <v>4528.3999999999996</v>
      </c>
      <c r="AA28" s="124">
        <v>4551</v>
      </c>
      <c r="AB28" s="132">
        <v>4560.5</v>
      </c>
      <c r="AC28" s="138">
        <v>4599.7</v>
      </c>
      <c r="AD28" s="124">
        <v>4622.8999999999996</v>
      </c>
      <c r="AE28" s="132">
        <v>4621.7</v>
      </c>
      <c r="AF28" s="89">
        <v>4635.2</v>
      </c>
      <c r="AG28" s="195">
        <v>4698.8999999999996</v>
      </c>
      <c r="AH28" s="206">
        <v>4794.6000000000004</v>
      </c>
      <c r="AI28" s="89">
        <v>4836.3999999999996</v>
      </c>
      <c r="AJ28" s="107">
        <v>4957</v>
      </c>
      <c r="AK28" s="1208">
        <v>4846.6000000000004</v>
      </c>
    </row>
    <row r="29" spans="1:40" x14ac:dyDescent="0.35">
      <c r="A29" s="146">
        <v>22</v>
      </c>
      <c r="B29" s="45" t="s">
        <v>1767</v>
      </c>
      <c r="C29" s="157">
        <v>3821.1</v>
      </c>
      <c r="D29" s="157">
        <v>3824.5</v>
      </c>
      <c r="E29" s="158">
        <v>3823.5</v>
      </c>
      <c r="F29" s="158">
        <v>3912.2</v>
      </c>
      <c r="G29" s="158">
        <v>3932.8</v>
      </c>
      <c r="H29" s="158">
        <v>3941.2</v>
      </c>
      <c r="I29" s="157">
        <v>3983.1</v>
      </c>
      <c r="J29" s="158">
        <v>4007.9</v>
      </c>
      <c r="K29" s="157">
        <v>4013.6</v>
      </c>
      <c r="L29" s="125">
        <v>4010.1</v>
      </c>
      <c r="M29" s="133">
        <v>4024</v>
      </c>
      <c r="N29" s="171">
        <v>4017.8</v>
      </c>
      <c r="O29" s="102">
        <v>3993.8</v>
      </c>
      <c r="P29" s="133">
        <v>3991.8</v>
      </c>
      <c r="Q29" s="171">
        <v>3977.7</v>
      </c>
      <c r="R29" s="125">
        <v>3977.9</v>
      </c>
      <c r="S29" s="133">
        <v>3972.1</v>
      </c>
      <c r="T29" s="90">
        <v>3987.7</v>
      </c>
      <c r="U29" s="102">
        <v>4271.8</v>
      </c>
      <c r="V29" s="133">
        <v>4321</v>
      </c>
      <c r="W29" s="90">
        <v>4350.8999999999996</v>
      </c>
      <c r="X29" s="125">
        <v>4362.3</v>
      </c>
      <c r="Y29" s="133">
        <v>4380.3</v>
      </c>
      <c r="Z29" s="90">
        <v>4397.6000000000004</v>
      </c>
      <c r="AA29" s="125">
        <v>4419.3</v>
      </c>
      <c r="AB29" s="133">
        <v>4427.8999999999996</v>
      </c>
      <c r="AC29" s="139">
        <v>4466.1000000000004</v>
      </c>
      <c r="AD29" s="125">
        <v>4488.3999999999996</v>
      </c>
      <c r="AE29" s="133">
        <v>4486.2</v>
      </c>
      <c r="AF29" s="84">
        <v>4498.7</v>
      </c>
      <c r="AG29" s="126">
        <v>4559</v>
      </c>
      <c r="AH29" s="127">
        <v>4632</v>
      </c>
      <c r="AI29" s="88">
        <v>4694.8</v>
      </c>
      <c r="AJ29" s="107">
        <v>4814.6000000000004</v>
      </c>
      <c r="AK29" s="1208">
        <v>4703.3</v>
      </c>
    </row>
    <row r="30" spans="1:40" ht="16.5" customHeight="1" x14ac:dyDescent="0.35">
      <c r="A30" s="163">
        <v>23</v>
      </c>
      <c r="B30" s="165" t="s">
        <v>1768</v>
      </c>
      <c r="C30" s="166">
        <v>1211.0999999999999</v>
      </c>
      <c r="D30" s="166">
        <v>1215.9000000000001</v>
      </c>
      <c r="E30" s="167">
        <v>1216.9000000000001</v>
      </c>
      <c r="F30" s="158">
        <v>1229.0999999999999</v>
      </c>
      <c r="G30" s="158">
        <v>1224.3</v>
      </c>
      <c r="H30" s="158">
        <v>1223.5999999999999</v>
      </c>
      <c r="I30" s="157">
        <v>1335.4</v>
      </c>
      <c r="J30" s="158">
        <v>1340.1</v>
      </c>
      <c r="K30" s="157">
        <v>1344.5</v>
      </c>
      <c r="L30" s="125">
        <v>1349.9</v>
      </c>
      <c r="M30" s="133">
        <v>1354.7</v>
      </c>
      <c r="N30" s="171">
        <v>1356.7</v>
      </c>
      <c r="O30" s="102">
        <v>1358.3</v>
      </c>
      <c r="P30" s="133">
        <v>1362.1</v>
      </c>
      <c r="Q30" s="171">
        <v>1363.4</v>
      </c>
      <c r="R30" s="125">
        <v>1378.6</v>
      </c>
      <c r="S30" s="133">
        <v>1370.3</v>
      </c>
      <c r="T30" s="90">
        <v>1373.8</v>
      </c>
      <c r="U30" s="102">
        <v>1421.9</v>
      </c>
      <c r="V30" s="133">
        <v>1425</v>
      </c>
      <c r="W30" s="90">
        <v>1432.7</v>
      </c>
      <c r="X30" s="125">
        <v>1435.9</v>
      </c>
      <c r="Y30" s="133">
        <v>1438.7</v>
      </c>
      <c r="Z30" s="90">
        <v>1444.6</v>
      </c>
      <c r="AA30" s="125">
        <v>1448.8</v>
      </c>
      <c r="AB30" s="133">
        <v>1452.8</v>
      </c>
      <c r="AC30" s="139">
        <v>1457.8</v>
      </c>
      <c r="AD30" s="125">
        <v>1470.6</v>
      </c>
      <c r="AE30" s="133">
        <v>1466.8</v>
      </c>
      <c r="AF30" s="84">
        <v>1466.3</v>
      </c>
      <c r="AG30" s="92">
        <v>1503.3</v>
      </c>
      <c r="AH30" s="93">
        <v>1513.6</v>
      </c>
      <c r="AI30" s="84">
        <v>1569.4</v>
      </c>
      <c r="AJ30" s="109">
        <v>1677</v>
      </c>
      <c r="AK30" s="1210">
        <v>1554.6</v>
      </c>
      <c r="AL30" s="111">
        <f>'Social Benefits'!AD71</f>
        <v>1597.069</v>
      </c>
      <c r="AM30" s="1215"/>
      <c r="AN30" s="112"/>
    </row>
    <row r="31" spans="1:40" ht="16" customHeight="1" x14ac:dyDescent="0.35">
      <c r="A31" s="163">
        <v>24</v>
      </c>
      <c r="B31" s="165" t="s">
        <v>1769</v>
      </c>
      <c r="C31" s="166">
        <v>914.1</v>
      </c>
      <c r="D31" s="166">
        <v>920.1</v>
      </c>
      <c r="E31" s="167">
        <v>926.7</v>
      </c>
      <c r="F31" s="158">
        <v>933.8</v>
      </c>
      <c r="G31" s="158">
        <v>941.5</v>
      </c>
      <c r="H31" s="158">
        <v>949.7</v>
      </c>
      <c r="I31" s="157">
        <v>936.9</v>
      </c>
      <c r="J31" s="158">
        <v>938.1</v>
      </c>
      <c r="K31" s="157">
        <v>939.3</v>
      </c>
      <c r="L31" s="125">
        <v>940.6</v>
      </c>
      <c r="M31" s="133">
        <v>941.9</v>
      </c>
      <c r="N31" s="171">
        <v>943.3</v>
      </c>
      <c r="O31" s="102">
        <v>944.8</v>
      </c>
      <c r="P31" s="133">
        <v>946.3</v>
      </c>
      <c r="Q31" s="171">
        <v>947.9</v>
      </c>
      <c r="R31" s="125">
        <v>949.6</v>
      </c>
      <c r="S31" s="133">
        <v>951.3</v>
      </c>
      <c r="T31" s="90">
        <v>953.1</v>
      </c>
      <c r="U31" s="102">
        <v>1044.2</v>
      </c>
      <c r="V31" s="133">
        <v>1049</v>
      </c>
      <c r="W31" s="90">
        <v>1054.4000000000001</v>
      </c>
      <c r="X31" s="125">
        <v>1060.4000000000001</v>
      </c>
      <c r="Y31" s="133">
        <v>1066.9000000000001</v>
      </c>
      <c r="Z31" s="90">
        <v>1074.0999999999999</v>
      </c>
      <c r="AA31" s="125">
        <v>1081.8</v>
      </c>
      <c r="AB31" s="133">
        <v>1090</v>
      </c>
      <c r="AC31" s="139">
        <v>1098.9000000000001</v>
      </c>
      <c r="AD31" s="125">
        <v>1108.3</v>
      </c>
      <c r="AE31" s="133">
        <v>1118.3</v>
      </c>
      <c r="AF31" s="85">
        <v>1128.9000000000001</v>
      </c>
      <c r="AG31" s="92">
        <v>1140</v>
      </c>
      <c r="AH31" s="93">
        <v>1150.5</v>
      </c>
      <c r="AI31" s="84">
        <v>1160.3</v>
      </c>
      <c r="AJ31" s="110">
        <v>1169.5</v>
      </c>
      <c r="AK31" s="1211">
        <v>1178</v>
      </c>
      <c r="AL31" s="169">
        <f>Medicare!AD10</f>
        <v>1179.9491604763948</v>
      </c>
      <c r="AN31" s="112"/>
    </row>
    <row r="32" spans="1:40" x14ac:dyDescent="0.35">
      <c r="A32" s="163">
        <v>25</v>
      </c>
      <c r="B32" s="165" t="s">
        <v>54</v>
      </c>
      <c r="C32" s="166">
        <v>790.3</v>
      </c>
      <c r="D32" s="166">
        <v>785.3</v>
      </c>
      <c r="E32" s="167">
        <v>782.8</v>
      </c>
      <c r="F32" s="158">
        <v>791.2</v>
      </c>
      <c r="G32" s="158">
        <v>796.9</v>
      </c>
      <c r="H32" s="158">
        <v>800.6</v>
      </c>
      <c r="I32" s="157">
        <v>856.7</v>
      </c>
      <c r="J32" s="158">
        <v>871.5</v>
      </c>
      <c r="K32" s="157">
        <v>886.1</v>
      </c>
      <c r="L32" s="125">
        <v>908.2</v>
      </c>
      <c r="M32" s="133">
        <v>916.2</v>
      </c>
      <c r="N32" s="171">
        <v>909.8</v>
      </c>
      <c r="O32" s="102">
        <v>893.4</v>
      </c>
      <c r="P32" s="133">
        <v>879.5</v>
      </c>
      <c r="Q32" s="171">
        <v>868.8</v>
      </c>
      <c r="R32" s="125">
        <v>863.5</v>
      </c>
      <c r="S32" s="133">
        <v>865.8</v>
      </c>
      <c r="T32" s="90">
        <v>875.6</v>
      </c>
      <c r="U32" s="102">
        <v>889.7</v>
      </c>
      <c r="V32" s="133">
        <v>906.4</v>
      </c>
      <c r="W32" s="90">
        <v>918.4</v>
      </c>
      <c r="X32" s="125">
        <v>922.3</v>
      </c>
      <c r="Y32" s="133">
        <v>925.2</v>
      </c>
      <c r="Z32" s="90">
        <v>926.4</v>
      </c>
      <c r="AA32" s="125">
        <v>926.2</v>
      </c>
      <c r="AB32" s="133">
        <v>930.8</v>
      </c>
      <c r="AC32" s="139">
        <v>940.2</v>
      </c>
      <c r="AD32" s="125">
        <v>937.7</v>
      </c>
      <c r="AE32" s="133">
        <v>942.3</v>
      </c>
      <c r="AF32" s="85">
        <v>954.3</v>
      </c>
      <c r="AG32" s="92">
        <v>955</v>
      </c>
      <c r="AH32" s="93">
        <v>957.9</v>
      </c>
      <c r="AI32" s="84">
        <v>959.9</v>
      </c>
      <c r="AJ32" s="110">
        <v>967.1</v>
      </c>
      <c r="AK32" s="1211">
        <v>971</v>
      </c>
      <c r="AL32" s="169">
        <f>forecast!D11</f>
        <v>969.02169234293717</v>
      </c>
      <c r="AN32" s="112"/>
    </row>
    <row r="33" spans="1:40" x14ac:dyDescent="0.35">
      <c r="A33" s="163">
        <v>26</v>
      </c>
      <c r="B33" s="165" t="s">
        <v>262</v>
      </c>
      <c r="C33" s="166">
        <v>18.7</v>
      </c>
      <c r="D33" s="166">
        <v>18.899999999999999</v>
      </c>
      <c r="E33" s="167">
        <v>18</v>
      </c>
      <c r="F33" s="158">
        <v>18.899999999999999</v>
      </c>
      <c r="G33" s="158">
        <v>20.6</v>
      </c>
      <c r="H33" s="158">
        <v>21.6</v>
      </c>
      <c r="I33" s="157">
        <v>21.1</v>
      </c>
      <c r="J33" s="158">
        <v>22</v>
      </c>
      <c r="K33" s="157">
        <v>22.8</v>
      </c>
      <c r="L33" s="125">
        <v>22.8</v>
      </c>
      <c r="M33" s="133">
        <v>22.3</v>
      </c>
      <c r="N33" s="171">
        <v>21.6</v>
      </c>
      <c r="O33" s="102">
        <v>21.1</v>
      </c>
      <c r="P33" s="133">
        <v>21.1</v>
      </c>
      <c r="Q33" s="171">
        <v>20.8</v>
      </c>
      <c r="R33" s="125">
        <v>22.1</v>
      </c>
      <c r="S33" s="133">
        <v>23.1</v>
      </c>
      <c r="T33" s="90">
        <v>22.9</v>
      </c>
      <c r="U33" s="102">
        <v>34.799999999999997</v>
      </c>
      <c r="V33" s="133">
        <v>35</v>
      </c>
      <c r="W33" s="90">
        <v>35</v>
      </c>
      <c r="X33" s="125">
        <v>34.5</v>
      </c>
      <c r="Y33" s="133">
        <v>34.799999999999997</v>
      </c>
      <c r="Z33" s="90">
        <v>35.6</v>
      </c>
      <c r="AA33" s="125">
        <v>35.9</v>
      </c>
      <c r="AB33" s="133">
        <v>35.700000000000003</v>
      </c>
      <c r="AC33" s="139">
        <v>35.4</v>
      </c>
      <c r="AD33" s="125">
        <v>36</v>
      </c>
      <c r="AE33" s="133">
        <v>36.299999999999997</v>
      </c>
      <c r="AF33" s="85">
        <v>35.9</v>
      </c>
      <c r="AG33" s="92">
        <v>35.700000000000003</v>
      </c>
      <c r="AH33" s="93">
        <v>35.700000000000003</v>
      </c>
      <c r="AI33" s="84">
        <v>35.799999999999997</v>
      </c>
      <c r="AJ33" s="110">
        <v>35.9</v>
      </c>
      <c r="AK33" s="1211">
        <v>36.700000000000003</v>
      </c>
      <c r="AL33" s="169">
        <f>forecast!D9+forecast!D8</f>
        <v>35.700000000000003</v>
      </c>
    </row>
    <row r="34" spans="1:40" ht="16.399999999999999" customHeight="1" x14ac:dyDescent="0.35">
      <c r="A34" s="146">
        <v>27</v>
      </c>
      <c r="B34" s="184" t="s">
        <v>1770</v>
      </c>
      <c r="C34" s="157">
        <v>161.1</v>
      </c>
      <c r="D34" s="157">
        <v>161.6</v>
      </c>
      <c r="E34" s="158">
        <v>162.5</v>
      </c>
      <c r="F34" s="158">
        <v>163.19999999999999</v>
      </c>
      <c r="G34" s="158">
        <v>164</v>
      </c>
      <c r="H34" s="158">
        <v>164.8</v>
      </c>
      <c r="I34" s="157">
        <v>173.1</v>
      </c>
      <c r="J34" s="158">
        <v>172.9</v>
      </c>
      <c r="K34" s="157">
        <v>172.7</v>
      </c>
      <c r="L34" s="125">
        <v>172.7</v>
      </c>
      <c r="M34" s="133">
        <v>172.4</v>
      </c>
      <c r="N34" s="171">
        <v>172.5</v>
      </c>
      <c r="O34" s="102">
        <v>172.7</v>
      </c>
      <c r="P34" s="133">
        <v>172.9</v>
      </c>
      <c r="Q34" s="171">
        <v>173</v>
      </c>
      <c r="R34" s="125">
        <v>173.3</v>
      </c>
      <c r="S34" s="133">
        <v>173.6</v>
      </c>
      <c r="T34" s="90">
        <v>173.9</v>
      </c>
      <c r="U34" s="102">
        <v>210.1</v>
      </c>
      <c r="V34" s="133">
        <v>211.7</v>
      </c>
      <c r="W34" s="90">
        <v>213.4</v>
      </c>
      <c r="X34" s="125">
        <v>215.1</v>
      </c>
      <c r="Y34" s="133">
        <v>216.8</v>
      </c>
      <c r="Z34" s="90">
        <v>218.4</v>
      </c>
      <c r="AA34" s="125">
        <v>219.9</v>
      </c>
      <c r="AB34" s="133">
        <v>221.6</v>
      </c>
      <c r="AC34" s="139">
        <v>223.1</v>
      </c>
      <c r="AD34" s="125">
        <v>224.7</v>
      </c>
      <c r="AE34" s="133">
        <v>226.3</v>
      </c>
      <c r="AF34" s="88">
        <v>227.8</v>
      </c>
      <c r="AG34" s="126">
        <v>229.5</v>
      </c>
      <c r="AH34" s="127">
        <v>231</v>
      </c>
      <c r="AI34" s="88">
        <v>232.2</v>
      </c>
      <c r="AJ34" s="107">
        <v>233.3</v>
      </c>
      <c r="AK34" s="1208">
        <v>234.4</v>
      </c>
    </row>
    <row r="35" spans="1:40" x14ac:dyDescent="0.35">
      <c r="A35" s="146">
        <v>28</v>
      </c>
      <c r="B35" s="184" t="s">
        <v>530</v>
      </c>
      <c r="C35" s="157">
        <v>725.8</v>
      </c>
      <c r="D35" s="157">
        <v>722.7</v>
      </c>
      <c r="E35" s="158">
        <v>716.6</v>
      </c>
      <c r="F35" s="158">
        <v>776</v>
      </c>
      <c r="G35" s="158">
        <v>785.4</v>
      </c>
      <c r="H35" s="158">
        <v>780.9</v>
      </c>
      <c r="I35" s="157">
        <v>659.8</v>
      </c>
      <c r="J35" s="158">
        <v>663.3</v>
      </c>
      <c r="K35" s="157">
        <v>648.20000000000005</v>
      </c>
      <c r="L35" s="125">
        <v>615.9</v>
      </c>
      <c r="M35" s="133">
        <v>616.4</v>
      </c>
      <c r="N35" s="171">
        <v>613.79999999999995</v>
      </c>
      <c r="O35" s="102">
        <v>603.5</v>
      </c>
      <c r="P35" s="133">
        <v>610</v>
      </c>
      <c r="Q35" s="171">
        <v>603.79999999999995</v>
      </c>
      <c r="R35" s="125">
        <v>590.79999999999995</v>
      </c>
      <c r="S35" s="133">
        <v>588.1</v>
      </c>
      <c r="T35" s="90">
        <v>588.29999999999995</v>
      </c>
      <c r="U35" s="102">
        <v>671.2</v>
      </c>
      <c r="V35" s="133">
        <v>693.9</v>
      </c>
      <c r="W35" s="90">
        <v>697.1</v>
      </c>
      <c r="X35" s="125">
        <v>694.1</v>
      </c>
      <c r="Y35" s="133">
        <v>697.8</v>
      </c>
      <c r="Z35" s="90">
        <v>698.6</v>
      </c>
      <c r="AA35" s="125">
        <v>706.7</v>
      </c>
      <c r="AB35" s="133">
        <v>696.9</v>
      </c>
      <c r="AC35" s="139">
        <v>710.7</v>
      </c>
      <c r="AD35" s="125">
        <v>711</v>
      </c>
      <c r="AE35" s="133">
        <v>696.3</v>
      </c>
      <c r="AF35" s="88">
        <v>685.5</v>
      </c>
      <c r="AG35" s="126">
        <v>695.6</v>
      </c>
      <c r="AH35" s="127">
        <v>743.2</v>
      </c>
      <c r="AI35" s="88">
        <v>737.1</v>
      </c>
      <c r="AJ35" s="107">
        <v>731.8</v>
      </c>
      <c r="AK35" s="1208">
        <v>728.5</v>
      </c>
    </row>
    <row r="36" spans="1:40" ht="20.5" customHeight="1" x14ac:dyDescent="0.35">
      <c r="A36" s="146">
        <v>29</v>
      </c>
      <c r="B36" s="182" t="s">
        <v>1771</v>
      </c>
      <c r="C36" s="157">
        <v>70.7</v>
      </c>
      <c r="D36" s="157">
        <v>69.400000000000006</v>
      </c>
      <c r="E36" s="158">
        <v>69.400000000000006</v>
      </c>
      <c r="F36" s="158">
        <v>69.400000000000006</v>
      </c>
      <c r="G36" s="158">
        <v>69.5</v>
      </c>
      <c r="H36" s="158">
        <v>69.599999999999994</v>
      </c>
      <c r="I36" s="157">
        <v>100.2</v>
      </c>
      <c r="J36" s="158">
        <v>100.9</v>
      </c>
      <c r="K36" s="157">
        <v>101.6</v>
      </c>
      <c r="L36" s="125">
        <v>102.2</v>
      </c>
      <c r="M36" s="133">
        <v>102.8</v>
      </c>
      <c r="N36" s="171">
        <v>103.5</v>
      </c>
      <c r="O36" s="102">
        <v>104.1</v>
      </c>
      <c r="P36" s="133">
        <v>104.7</v>
      </c>
      <c r="Q36" s="171">
        <v>108.9</v>
      </c>
      <c r="R36" s="125">
        <v>105.8</v>
      </c>
      <c r="S36" s="133">
        <v>109.9</v>
      </c>
      <c r="T36" s="90">
        <v>106.9</v>
      </c>
      <c r="U36" s="102">
        <v>139.5</v>
      </c>
      <c r="V36" s="133">
        <v>127.1</v>
      </c>
      <c r="W36" s="90">
        <v>128</v>
      </c>
      <c r="X36" s="125">
        <v>136.30000000000001</v>
      </c>
      <c r="Y36" s="133">
        <v>129.80000000000001</v>
      </c>
      <c r="Z36" s="90">
        <v>130.80000000000001</v>
      </c>
      <c r="AA36" s="125">
        <v>131.69999999999999</v>
      </c>
      <c r="AB36" s="133">
        <v>132.6</v>
      </c>
      <c r="AC36" s="139">
        <v>133.6</v>
      </c>
      <c r="AD36" s="125">
        <v>134.5</v>
      </c>
      <c r="AE36" s="133">
        <v>135.5</v>
      </c>
      <c r="AF36" s="88">
        <v>136.5</v>
      </c>
      <c r="AG36" s="126">
        <v>139.9</v>
      </c>
      <c r="AH36" s="127">
        <v>162.6</v>
      </c>
      <c r="AI36" s="88">
        <v>141.6</v>
      </c>
      <c r="AJ36" s="107">
        <v>142.4</v>
      </c>
      <c r="AK36" s="1208">
        <v>143.30000000000001</v>
      </c>
    </row>
    <row r="37" spans="1:40" ht="42" customHeight="1" x14ac:dyDescent="0.35">
      <c r="A37" s="163">
        <v>30</v>
      </c>
      <c r="B37" s="174" t="s">
        <v>1772</v>
      </c>
      <c r="C37" s="175">
        <v>1683.6</v>
      </c>
      <c r="D37" s="175">
        <v>1695.6</v>
      </c>
      <c r="E37" s="176">
        <v>1707.7</v>
      </c>
      <c r="F37" s="156">
        <v>1704.3</v>
      </c>
      <c r="G37" s="156">
        <v>1703.1</v>
      </c>
      <c r="H37" s="156">
        <v>1703.8</v>
      </c>
      <c r="I37" s="155">
        <v>1765.5</v>
      </c>
      <c r="J37" s="156">
        <v>1774.3</v>
      </c>
      <c r="K37" s="155">
        <v>1782</v>
      </c>
      <c r="L37" s="124">
        <v>1787.4</v>
      </c>
      <c r="M37" s="132">
        <v>1793.6</v>
      </c>
      <c r="N37" s="170">
        <v>1800.9</v>
      </c>
      <c r="O37" s="101">
        <v>1809.2</v>
      </c>
      <c r="P37" s="132">
        <v>1817.6</v>
      </c>
      <c r="Q37" s="170">
        <v>1824.6</v>
      </c>
      <c r="R37" s="124">
        <v>1821.7</v>
      </c>
      <c r="S37" s="132">
        <v>1824.1</v>
      </c>
      <c r="T37" s="208">
        <v>1830.7</v>
      </c>
      <c r="U37" s="101">
        <v>1872.5</v>
      </c>
      <c r="V37" s="132">
        <v>1883.5</v>
      </c>
      <c r="W37" s="208">
        <v>1892.5</v>
      </c>
      <c r="X37" s="124">
        <v>1887</v>
      </c>
      <c r="Y37" s="132">
        <v>1891.2</v>
      </c>
      <c r="Z37" s="208">
        <v>1891.4</v>
      </c>
      <c r="AA37" s="124">
        <v>1892.6</v>
      </c>
      <c r="AB37" s="132">
        <v>1897.9</v>
      </c>
      <c r="AC37" s="138">
        <v>1902.5</v>
      </c>
      <c r="AD37" s="124">
        <v>1914.2</v>
      </c>
      <c r="AE37" s="132">
        <v>1925.8</v>
      </c>
      <c r="AF37" s="86">
        <v>1933.7</v>
      </c>
      <c r="AG37" s="94">
        <v>1947.1</v>
      </c>
      <c r="AH37" s="95">
        <v>1954.9</v>
      </c>
      <c r="AI37" s="86">
        <v>1963.7</v>
      </c>
      <c r="AJ37" s="109">
        <v>1970.9</v>
      </c>
      <c r="AK37" s="1210">
        <v>1977.4</v>
      </c>
      <c r="AL37" s="111">
        <f>Taxes!AD13+Taxes!AD25</f>
        <v>1979.8523866970218</v>
      </c>
      <c r="AN37" s="112"/>
    </row>
    <row r="38" spans="1:40" x14ac:dyDescent="0.35">
      <c r="A38" s="163">
        <v>31</v>
      </c>
      <c r="B38" s="177" t="s">
        <v>242</v>
      </c>
      <c r="C38" s="175">
        <v>3224.2</v>
      </c>
      <c r="D38" s="175">
        <v>3236.7</v>
      </c>
      <c r="E38" s="176">
        <v>3248.6</v>
      </c>
      <c r="F38" s="156">
        <v>3232.7</v>
      </c>
      <c r="G38" s="156">
        <v>3213.6</v>
      </c>
      <c r="H38" s="156">
        <v>3202.1</v>
      </c>
      <c r="I38" s="155">
        <v>2767.2</v>
      </c>
      <c r="J38" s="156">
        <v>2763.4</v>
      </c>
      <c r="K38" s="155">
        <v>2760.4</v>
      </c>
      <c r="L38" s="124">
        <v>2707.4</v>
      </c>
      <c r="M38" s="132">
        <v>2691.2</v>
      </c>
      <c r="N38" s="170">
        <v>2712.9</v>
      </c>
      <c r="O38" s="101">
        <v>2744.1</v>
      </c>
      <c r="P38" s="132">
        <v>2768.2</v>
      </c>
      <c r="Q38" s="170">
        <v>2783.7</v>
      </c>
      <c r="R38" s="124">
        <v>2785.6</v>
      </c>
      <c r="S38" s="132">
        <v>2791.7</v>
      </c>
      <c r="T38" s="208">
        <v>2800.1</v>
      </c>
      <c r="U38" s="101">
        <v>2947.9</v>
      </c>
      <c r="V38" s="132">
        <v>2966.4</v>
      </c>
      <c r="W38" s="208">
        <v>2982.6</v>
      </c>
      <c r="X38" s="124">
        <v>2989.7</v>
      </c>
      <c r="Y38" s="132">
        <v>3007.5</v>
      </c>
      <c r="Z38" s="208">
        <v>3019</v>
      </c>
      <c r="AA38" s="124">
        <v>3038.6</v>
      </c>
      <c r="AB38" s="132">
        <v>3056.8</v>
      </c>
      <c r="AC38" s="138">
        <v>3067.2</v>
      </c>
      <c r="AD38" s="124">
        <v>3098.3</v>
      </c>
      <c r="AE38" s="132">
        <v>3121.7</v>
      </c>
      <c r="AF38" s="86">
        <v>3132.9</v>
      </c>
      <c r="AG38" s="94">
        <v>3174.1</v>
      </c>
      <c r="AH38" s="95">
        <v>3191.9</v>
      </c>
      <c r="AI38" s="86">
        <v>3211</v>
      </c>
      <c r="AJ38" s="109">
        <v>3228</v>
      </c>
      <c r="AK38" s="1210">
        <v>3243.4</v>
      </c>
      <c r="AL38" s="111">
        <f>Taxes!AD10+Taxes!AD23</f>
        <v>3245.4792890104623</v>
      </c>
      <c r="AN38" s="112"/>
    </row>
    <row r="39" spans="1:40" x14ac:dyDescent="0.35">
      <c r="A39" s="146">
        <v>32</v>
      </c>
      <c r="B39" s="47" t="s">
        <v>1773</v>
      </c>
      <c r="C39" s="155">
        <v>18628.099999999999</v>
      </c>
      <c r="D39" s="155">
        <v>18739.099999999999</v>
      </c>
      <c r="E39" s="156">
        <v>18831.7</v>
      </c>
      <c r="F39" s="156">
        <v>18969.2</v>
      </c>
      <c r="G39" s="156">
        <v>19026.5</v>
      </c>
      <c r="H39" s="156">
        <v>19079.7</v>
      </c>
      <c r="I39" s="155">
        <v>19758.099999999999</v>
      </c>
      <c r="J39" s="156">
        <v>19885</v>
      </c>
      <c r="K39" s="155">
        <v>19997.5</v>
      </c>
      <c r="L39" s="124">
        <v>20098.7</v>
      </c>
      <c r="M39" s="132">
        <v>20185.400000000001</v>
      </c>
      <c r="N39" s="170">
        <v>20208.400000000001</v>
      </c>
      <c r="O39" s="101">
        <v>20242.2</v>
      </c>
      <c r="P39" s="132">
        <v>20326.400000000001</v>
      </c>
      <c r="Q39" s="170">
        <v>20392.5</v>
      </c>
      <c r="R39" s="124">
        <v>20403.8</v>
      </c>
      <c r="S39" s="132">
        <v>20449.8</v>
      </c>
      <c r="T39" s="208">
        <v>20511.5</v>
      </c>
      <c r="U39" s="101">
        <v>21278.799999999999</v>
      </c>
      <c r="V39" s="132">
        <v>21364.6</v>
      </c>
      <c r="W39" s="208">
        <v>21492.3</v>
      </c>
      <c r="X39" s="124">
        <v>21521.4</v>
      </c>
      <c r="Y39" s="132">
        <v>21576.7</v>
      </c>
      <c r="Z39" s="208">
        <v>21607.7</v>
      </c>
      <c r="AA39" s="124">
        <v>21630.7</v>
      </c>
      <c r="AB39" s="132">
        <v>21644.400000000001</v>
      </c>
      <c r="AC39" s="138">
        <v>21712.5</v>
      </c>
      <c r="AD39" s="124">
        <v>21852.3</v>
      </c>
      <c r="AE39" s="132">
        <v>21915.4</v>
      </c>
      <c r="AF39" s="89">
        <v>22006.2</v>
      </c>
      <c r="AG39" s="195">
        <v>22100.799999999999</v>
      </c>
      <c r="AH39" s="206">
        <v>22264.2</v>
      </c>
      <c r="AI39" s="89">
        <v>22408.3</v>
      </c>
      <c r="AJ39" s="92">
        <v>22579.599999999999</v>
      </c>
      <c r="AK39" s="1208">
        <v>22454.6</v>
      </c>
    </row>
    <row r="40" spans="1:40" x14ac:dyDescent="0.35">
      <c r="A40" s="146">
        <v>33</v>
      </c>
      <c r="B40" s="47" t="s">
        <v>243</v>
      </c>
      <c r="C40" s="155">
        <v>17983.400000000001</v>
      </c>
      <c r="D40" s="155">
        <v>18132.7</v>
      </c>
      <c r="E40" s="156">
        <v>18257.400000000001</v>
      </c>
      <c r="F40" s="156">
        <v>18391.8</v>
      </c>
      <c r="G40" s="156">
        <v>18362.3</v>
      </c>
      <c r="H40" s="156">
        <v>18377.400000000001</v>
      </c>
      <c r="I40" s="155">
        <v>18887</v>
      </c>
      <c r="J40" s="156">
        <v>18959</v>
      </c>
      <c r="K40" s="155">
        <v>18950</v>
      </c>
      <c r="L40" s="124">
        <v>19056.2</v>
      </c>
      <c r="M40" s="132">
        <v>19125.400000000001</v>
      </c>
      <c r="N40" s="170">
        <v>19228.3</v>
      </c>
      <c r="O40" s="101">
        <v>19351.5</v>
      </c>
      <c r="P40" s="132">
        <v>19417</v>
      </c>
      <c r="Q40" s="170">
        <v>19600.900000000001</v>
      </c>
      <c r="R40" s="124">
        <v>19622.8</v>
      </c>
      <c r="S40" s="132">
        <v>19683.8</v>
      </c>
      <c r="T40" s="208">
        <v>19779.3</v>
      </c>
      <c r="U40" s="101">
        <v>20105.3</v>
      </c>
      <c r="V40" s="132">
        <v>20218.400000000001</v>
      </c>
      <c r="W40" s="208">
        <v>20367.8</v>
      </c>
      <c r="X40" s="124">
        <v>20423.3</v>
      </c>
      <c r="Y40" s="132">
        <v>20522.099999999999</v>
      </c>
      <c r="Z40" s="208">
        <v>20577.099999999999</v>
      </c>
      <c r="AA40" s="124">
        <v>20698.8</v>
      </c>
      <c r="AB40" s="132">
        <v>20740.099999999999</v>
      </c>
      <c r="AC40" s="138">
        <v>20881.8</v>
      </c>
      <c r="AD40" s="124">
        <v>20959.599999999999</v>
      </c>
      <c r="AE40" s="132">
        <v>21069.8</v>
      </c>
      <c r="AF40" s="89">
        <v>21241.1</v>
      </c>
      <c r="AG40" s="195">
        <v>21182</v>
      </c>
      <c r="AH40" s="206">
        <v>21277.9</v>
      </c>
      <c r="AI40" s="89">
        <v>21423.1</v>
      </c>
      <c r="AJ40" s="107">
        <v>21468.3</v>
      </c>
      <c r="AK40" s="1208">
        <v>21440.7</v>
      </c>
    </row>
    <row r="41" spans="1:40" x14ac:dyDescent="0.35">
      <c r="A41" s="146">
        <v>34</v>
      </c>
      <c r="B41" s="119" t="s">
        <v>1707</v>
      </c>
      <c r="C41" s="157">
        <v>17420.3</v>
      </c>
      <c r="D41" s="157">
        <v>17550.900000000001</v>
      </c>
      <c r="E41" s="158">
        <v>17656.8</v>
      </c>
      <c r="F41" s="158">
        <v>17778.2</v>
      </c>
      <c r="G41" s="158">
        <v>17735</v>
      </c>
      <c r="H41" s="158">
        <v>17736.5</v>
      </c>
      <c r="I41" s="157">
        <v>18229.599999999999</v>
      </c>
      <c r="J41" s="158">
        <v>18296.5</v>
      </c>
      <c r="K41" s="157">
        <v>18282.599999999999</v>
      </c>
      <c r="L41" s="125">
        <v>18363.8</v>
      </c>
      <c r="M41" s="133">
        <v>18407.8</v>
      </c>
      <c r="N41" s="171">
        <v>18485.400000000001</v>
      </c>
      <c r="O41" s="102">
        <v>18595.400000000001</v>
      </c>
      <c r="P41" s="133">
        <v>18651.599999999999</v>
      </c>
      <c r="Q41" s="171">
        <v>18791.5</v>
      </c>
      <c r="R41" s="125">
        <v>18826.8</v>
      </c>
      <c r="S41" s="133">
        <v>18903</v>
      </c>
      <c r="T41" s="90">
        <v>19013.7</v>
      </c>
      <c r="U41" s="102">
        <v>19308.5</v>
      </c>
      <c r="V41" s="133">
        <v>19412.7</v>
      </c>
      <c r="W41" s="90">
        <v>19553.2</v>
      </c>
      <c r="X41" s="125">
        <v>19603.3</v>
      </c>
      <c r="Y41" s="133">
        <v>19697.3</v>
      </c>
      <c r="Z41" s="90">
        <v>19747.5</v>
      </c>
      <c r="AA41" s="125">
        <v>19866.3</v>
      </c>
      <c r="AB41" s="133">
        <v>19905</v>
      </c>
      <c r="AC41" s="139">
        <v>20044.099999999999</v>
      </c>
      <c r="AD41" s="125">
        <v>20123.2</v>
      </c>
      <c r="AE41" s="133">
        <v>20235.099999999999</v>
      </c>
      <c r="AF41" s="88">
        <v>20408.099999999999</v>
      </c>
      <c r="AG41" s="126">
        <v>20370</v>
      </c>
      <c r="AH41" s="127">
        <v>20436.3</v>
      </c>
      <c r="AI41" s="88">
        <v>20578.5</v>
      </c>
      <c r="AJ41" s="107">
        <v>20622</v>
      </c>
      <c r="AK41" s="1208">
        <v>20592.7</v>
      </c>
    </row>
    <row r="42" spans="1:40" ht="16.399999999999999" customHeight="1" x14ac:dyDescent="0.35">
      <c r="A42" s="146">
        <v>35</v>
      </c>
      <c r="B42" s="45" t="s">
        <v>1730</v>
      </c>
      <c r="C42" s="157">
        <v>5988.2</v>
      </c>
      <c r="D42" s="157">
        <v>5981.9</v>
      </c>
      <c r="E42" s="158">
        <v>5995.6</v>
      </c>
      <c r="F42" s="158">
        <v>6064.4</v>
      </c>
      <c r="G42" s="158">
        <v>5974.1</v>
      </c>
      <c r="H42" s="158">
        <v>5901.5</v>
      </c>
      <c r="I42" s="157">
        <v>6148.2</v>
      </c>
      <c r="J42" s="158">
        <v>6164.2</v>
      </c>
      <c r="K42" s="157">
        <v>6089.2</v>
      </c>
      <c r="L42" s="125">
        <v>6139.1</v>
      </c>
      <c r="M42" s="133">
        <v>6144.7</v>
      </c>
      <c r="N42" s="171">
        <v>6150.1</v>
      </c>
      <c r="O42" s="102">
        <v>6188.2</v>
      </c>
      <c r="P42" s="133">
        <v>6228.7</v>
      </c>
      <c r="Q42" s="171">
        <v>6278.4</v>
      </c>
      <c r="R42" s="125">
        <v>6250.7</v>
      </c>
      <c r="S42" s="133">
        <v>6242.4</v>
      </c>
      <c r="T42" s="90">
        <v>6273.8</v>
      </c>
      <c r="U42" s="102">
        <v>6115.8</v>
      </c>
      <c r="V42" s="133">
        <v>6134.2</v>
      </c>
      <c r="W42" s="90">
        <v>6196.5</v>
      </c>
      <c r="X42" s="125">
        <v>6186</v>
      </c>
      <c r="Y42" s="133">
        <v>6218.9</v>
      </c>
      <c r="Z42" s="90">
        <v>6209</v>
      </c>
      <c r="AA42" s="125">
        <v>6267.2</v>
      </c>
      <c r="AB42" s="133">
        <v>6229.2</v>
      </c>
      <c r="AC42" s="139">
        <v>6298.9</v>
      </c>
      <c r="AD42" s="125">
        <v>6292.9</v>
      </c>
      <c r="AE42" s="133">
        <v>6343.5</v>
      </c>
      <c r="AF42" s="88">
        <v>6428</v>
      </c>
      <c r="AG42" s="126">
        <v>6349.6</v>
      </c>
      <c r="AH42" s="127">
        <v>6378</v>
      </c>
      <c r="AI42" s="88">
        <v>6445.7</v>
      </c>
      <c r="AJ42" s="107">
        <v>6455.7</v>
      </c>
      <c r="AK42" s="1208">
        <v>6406.4</v>
      </c>
    </row>
    <row r="43" spans="1:40" ht="16.399999999999999" customHeight="1" x14ac:dyDescent="0.35">
      <c r="A43" s="146">
        <v>36</v>
      </c>
      <c r="B43" s="184" t="s">
        <v>1774</v>
      </c>
      <c r="C43" s="157">
        <v>2189.5</v>
      </c>
      <c r="D43" s="157">
        <v>2197.8000000000002</v>
      </c>
      <c r="E43" s="158">
        <v>2200.1999999999998</v>
      </c>
      <c r="F43" s="158">
        <v>2238.9</v>
      </c>
      <c r="G43" s="158">
        <v>2167.3000000000002</v>
      </c>
      <c r="H43" s="158">
        <v>2134.9</v>
      </c>
      <c r="I43" s="157">
        <v>2213.6999999999998</v>
      </c>
      <c r="J43" s="158">
        <v>2203.6</v>
      </c>
      <c r="K43" s="157">
        <v>2167.3000000000002</v>
      </c>
      <c r="L43" s="125">
        <v>2183.6999999999998</v>
      </c>
      <c r="M43" s="133">
        <v>2202.8000000000002</v>
      </c>
      <c r="N43" s="171">
        <v>2194.1999999999998</v>
      </c>
      <c r="O43" s="102">
        <v>2206.9</v>
      </c>
      <c r="P43" s="133">
        <v>2193.1</v>
      </c>
      <c r="Q43" s="171">
        <v>2213.4</v>
      </c>
      <c r="R43" s="125">
        <v>2191.1</v>
      </c>
      <c r="S43" s="133">
        <v>2195.6999999999998</v>
      </c>
      <c r="T43" s="90">
        <v>2219.8000000000002</v>
      </c>
      <c r="U43" s="102">
        <v>2113</v>
      </c>
      <c r="V43" s="133">
        <v>2128.6</v>
      </c>
      <c r="W43" s="90">
        <v>2140.3000000000002</v>
      </c>
      <c r="X43" s="125">
        <v>2129.3000000000002</v>
      </c>
      <c r="Y43" s="133">
        <v>2151.6999999999998</v>
      </c>
      <c r="Z43" s="90">
        <v>2144.5</v>
      </c>
      <c r="AA43" s="125">
        <v>2170.9</v>
      </c>
      <c r="AB43" s="133">
        <v>2148.8000000000002</v>
      </c>
      <c r="AC43" s="139">
        <v>2185.6</v>
      </c>
      <c r="AD43" s="125">
        <v>2188.1</v>
      </c>
      <c r="AE43" s="133">
        <v>2237.4</v>
      </c>
      <c r="AF43" s="88">
        <v>2271</v>
      </c>
      <c r="AG43" s="126">
        <v>2183.1999999999998</v>
      </c>
      <c r="AH43" s="127">
        <v>2190.6</v>
      </c>
      <c r="AI43" s="88">
        <v>2274.6</v>
      </c>
      <c r="AJ43" s="107">
        <v>2284.8000000000002</v>
      </c>
      <c r="AK43" s="1208">
        <v>2243.3000000000002</v>
      </c>
    </row>
    <row r="44" spans="1:40" ht="16.399999999999999" customHeight="1" x14ac:dyDescent="0.35">
      <c r="A44" s="146">
        <v>37</v>
      </c>
      <c r="B44" s="184" t="s">
        <v>1775</v>
      </c>
      <c r="C44" s="157">
        <v>3798.7</v>
      </c>
      <c r="D44" s="157">
        <v>3784.1</v>
      </c>
      <c r="E44" s="158">
        <v>3795.4</v>
      </c>
      <c r="F44" s="158">
        <v>3825.6</v>
      </c>
      <c r="G44" s="158">
        <v>3806.8</v>
      </c>
      <c r="H44" s="158">
        <v>3766.5</v>
      </c>
      <c r="I44" s="157">
        <v>3934.5</v>
      </c>
      <c r="J44" s="158">
        <v>3960.6</v>
      </c>
      <c r="K44" s="157">
        <v>3921.9</v>
      </c>
      <c r="L44" s="125">
        <v>3955.4</v>
      </c>
      <c r="M44" s="133">
        <v>3941.9</v>
      </c>
      <c r="N44" s="171">
        <v>3955.9</v>
      </c>
      <c r="O44" s="102">
        <v>3981.3</v>
      </c>
      <c r="P44" s="133">
        <v>4035.5</v>
      </c>
      <c r="Q44" s="171">
        <v>4065</v>
      </c>
      <c r="R44" s="125">
        <v>4059.7</v>
      </c>
      <c r="S44" s="133">
        <v>4046.7</v>
      </c>
      <c r="T44" s="90">
        <v>4054</v>
      </c>
      <c r="U44" s="102">
        <v>4002.8</v>
      </c>
      <c r="V44" s="133">
        <v>4005.6</v>
      </c>
      <c r="W44" s="90">
        <v>4056.2</v>
      </c>
      <c r="X44" s="125">
        <v>4056.7</v>
      </c>
      <c r="Y44" s="133">
        <v>4067.2</v>
      </c>
      <c r="Z44" s="90">
        <v>4064.5</v>
      </c>
      <c r="AA44" s="125">
        <v>4096.3</v>
      </c>
      <c r="AB44" s="133">
        <v>4080.4</v>
      </c>
      <c r="AC44" s="139">
        <v>4113.3</v>
      </c>
      <c r="AD44" s="125">
        <v>4104.8</v>
      </c>
      <c r="AE44" s="133">
        <v>4106.1000000000004</v>
      </c>
      <c r="AF44" s="84">
        <v>4157</v>
      </c>
      <c r="AG44" s="126">
        <v>4166.3999999999996</v>
      </c>
      <c r="AH44" s="127">
        <v>4187.3999999999996</v>
      </c>
      <c r="AI44" s="88">
        <v>4171.1000000000004</v>
      </c>
      <c r="AJ44" s="107">
        <v>4170.8999999999996</v>
      </c>
      <c r="AK44" s="1208">
        <v>4163.2</v>
      </c>
    </row>
    <row r="45" spans="1:40" ht="16.399999999999999" customHeight="1" x14ac:dyDescent="0.35">
      <c r="A45" s="146">
        <v>38</v>
      </c>
      <c r="B45" s="45" t="s">
        <v>1731</v>
      </c>
      <c r="C45" s="157">
        <v>11432.1</v>
      </c>
      <c r="D45" s="157">
        <v>11568.9</v>
      </c>
      <c r="E45" s="158">
        <v>11661.2</v>
      </c>
      <c r="F45" s="158">
        <v>11713.7</v>
      </c>
      <c r="G45" s="158">
        <v>11760.9</v>
      </c>
      <c r="H45" s="158">
        <v>11835</v>
      </c>
      <c r="I45" s="157">
        <v>12081.4</v>
      </c>
      <c r="J45" s="158">
        <v>12132.4</v>
      </c>
      <c r="K45" s="157">
        <v>12193.4</v>
      </c>
      <c r="L45" s="125">
        <v>12224.7</v>
      </c>
      <c r="M45" s="133">
        <v>12263</v>
      </c>
      <c r="N45" s="171">
        <v>12335.3</v>
      </c>
      <c r="O45" s="102">
        <v>12407.2</v>
      </c>
      <c r="P45" s="133">
        <v>12422.9</v>
      </c>
      <c r="Q45" s="171">
        <v>12513</v>
      </c>
      <c r="R45" s="125">
        <v>12576.1</v>
      </c>
      <c r="S45" s="133">
        <v>12660.5</v>
      </c>
      <c r="T45" s="90">
        <v>12739.9</v>
      </c>
      <c r="U45" s="102">
        <v>13192.6</v>
      </c>
      <c r="V45" s="133">
        <v>13278.5</v>
      </c>
      <c r="W45" s="90">
        <v>13356.7</v>
      </c>
      <c r="X45" s="125">
        <v>13417.3</v>
      </c>
      <c r="Y45" s="133">
        <v>13478.5</v>
      </c>
      <c r="Z45" s="90">
        <v>13538.5</v>
      </c>
      <c r="AA45" s="125">
        <v>13599</v>
      </c>
      <c r="AB45" s="133">
        <v>13675.7</v>
      </c>
      <c r="AC45" s="139">
        <v>13745.2</v>
      </c>
      <c r="AD45" s="125">
        <v>13830.3</v>
      </c>
      <c r="AE45" s="133">
        <v>13891.6</v>
      </c>
      <c r="AF45" s="84">
        <v>13980.1</v>
      </c>
      <c r="AG45" s="126">
        <v>14020.4</v>
      </c>
      <c r="AH45" s="127">
        <v>14058.4</v>
      </c>
      <c r="AI45" s="88">
        <v>14132.8</v>
      </c>
      <c r="AJ45" s="107">
        <v>14166.3</v>
      </c>
      <c r="AK45" s="1208">
        <v>14186.2</v>
      </c>
    </row>
    <row r="46" spans="1:40" ht="16.399999999999999" customHeight="1" x14ac:dyDescent="0.35">
      <c r="A46" s="146">
        <v>39</v>
      </c>
      <c r="B46" s="119" t="s">
        <v>1776</v>
      </c>
      <c r="C46" s="157">
        <v>338.7</v>
      </c>
      <c r="D46" s="157">
        <v>357.1</v>
      </c>
      <c r="E46" s="158">
        <v>375.6</v>
      </c>
      <c r="F46" s="158">
        <v>389.1</v>
      </c>
      <c r="G46" s="158">
        <v>402.6</v>
      </c>
      <c r="H46" s="158">
        <v>416.1</v>
      </c>
      <c r="I46" s="157">
        <v>415</v>
      </c>
      <c r="J46" s="158">
        <v>419.8</v>
      </c>
      <c r="K46" s="157">
        <v>424.7</v>
      </c>
      <c r="L46" s="125">
        <v>449.7</v>
      </c>
      <c r="M46" s="133">
        <v>474.7</v>
      </c>
      <c r="N46" s="171">
        <v>499.8</v>
      </c>
      <c r="O46" s="102">
        <v>510</v>
      </c>
      <c r="P46" s="133">
        <v>519</v>
      </c>
      <c r="Q46" s="171">
        <v>562.79999999999995</v>
      </c>
      <c r="R46" s="125">
        <v>547.29999999999995</v>
      </c>
      <c r="S46" s="133">
        <v>531.70000000000005</v>
      </c>
      <c r="T46" s="90">
        <v>516.1</v>
      </c>
      <c r="U46" s="102">
        <v>525.79999999999995</v>
      </c>
      <c r="V46" s="133">
        <v>534.4</v>
      </c>
      <c r="W46" s="90">
        <v>542.9</v>
      </c>
      <c r="X46" s="125">
        <v>547.29999999999995</v>
      </c>
      <c r="Y46" s="133">
        <v>551.70000000000005</v>
      </c>
      <c r="Z46" s="90">
        <v>556.1</v>
      </c>
      <c r="AA46" s="125">
        <v>558.29999999999995</v>
      </c>
      <c r="AB46" s="133">
        <v>560.5</v>
      </c>
      <c r="AC46" s="139">
        <v>562.70000000000005</v>
      </c>
      <c r="AD46" s="125">
        <v>560.4</v>
      </c>
      <c r="AE46" s="133">
        <v>558.20000000000005</v>
      </c>
      <c r="AF46" s="84">
        <v>556</v>
      </c>
      <c r="AG46" s="126">
        <v>558.70000000000005</v>
      </c>
      <c r="AH46" s="127">
        <v>561.29999999999995</v>
      </c>
      <c r="AI46" s="88">
        <v>564</v>
      </c>
      <c r="AJ46" s="107">
        <v>565.29999999999995</v>
      </c>
      <c r="AK46" s="1208">
        <v>566.6</v>
      </c>
    </row>
    <row r="47" spans="1:40" x14ac:dyDescent="0.35">
      <c r="A47" s="146">
        <v>40</v>
      </c>
      <c r="B47" s="119" t="s">
        <v>1777</v>
      </c>
      <c r="C47" s="157">
        <v>224.4</v>
      </c>
      <c r="D47" s="157">
        <v>224.7</v>
      </c>
      <c r="E47" s="158">
        <v>225</v>
      </c>
      <c r="F47" s="158">
        <v>224.5</v>
      </c>
      <c r="G47" s="158">
        <v>224.7</v>
      </c>
      <c r="H47" s="158">
        <v>224.8</v>
      </c>
      <c r="I47" s="157">
        <v>242.4</v>
      </c>
      <c r="J47" s="158">
        <v>242.6</v>
      </c>
      <c r="K47" s="157">
        <v>242.8</v>
      </c>
      <c r="L47" s="125">
        <v>242.6</v>
      </c>
      <c r="M47" s="133">
        <v>242.9</v>
      </c>
      <c r="N47" s="171">
        <v>243.1</v>
      </c>
      <c r="O47" s="102">
        <v>246.1</v>
      </c>
      <c r="P47" s="133">
        <v>246.4</v>
      </c>
      <c r="Q47" s="171">
        <v>246.7</v>
      </c>
      <c r="R47" s="125">
        <v>248.8</v>
      </c>
      <c r="S47" s="133">
        <v>249.1</v>
      </c>
      <c r="T47" s="90">
        <v>249.5</v>
      </c>
      <c r="U47" s="102">
        <v>271</v>
      </c>
      <c r="V47" s="133">
        <v>271.39999999999998</v>
      </c>
      <c r="W47" s="90">
        <v>271.7</v>
      </c>
      <c r="X47" s="125">
        <v>272.7</v>
      </c>
      <c r="Y47" s="133">
        <v>273.10000000000002</v>
      </c>
      <c r="Z47" s="90">
        <v>273.5</v>
      </c>
      <c r="AA47" s="125">
        <v>274.2</v>
      </c>
      <c r="AB47" s="133">
        <v>274.7</v>
      </c>
      <c r="AC47" s="139">
        <v>275.10000000000002</v>
      </c>
      <c r="AD47" s="125">
        <v>276</v>
      </c>
      <c r="AE47" s="133">
        <v>276.5</v>
      </c>
      <c r="AF47" s="84">
        <v>277</v>
      </c>
      <c r="AG47" s="126">
        <v>253.3</v>
      </c>
      <c r="AH47" s="127">
        <v>280.2</v>
      </c>
      <c r="AI47" s="88">
        <v>280.7</v>
      </c>
      <c r="AJ47" s="107">
        <v>281</v>
      </c>
      <c r="AK47" s="1208">
        <v>281.39999999999998</v>
      </c>
    </row>
    <row r="48" spans="1:40" x14ac:dyDescent="0.35">
      <c r="A48" s="146">
        <v>41</v>
      </c>
      <c r="B48" s="45" t="s">
        <v>1778</v>
      </c>
      <c r="C48" s="157">
        <v>116.1</v>
      </c>
      <c r="D48" s="157">
        <v>116.4</v>
      </c>
      <c r="E48" s="158">
        <v>116.7</v>
      </c>
      <c r="F48" s="158">
        <v>116.9</v>
      </c>
      <c r="G48" s="158">
        <v>117.1</v>
      </c>
      <c r="H48" s="158">
        <v>117.2</v>
      </c>
      <c r="I48" s="157">
        <v>129.5</v>
      </c>
      <c r="J48" s="158">
        <v>129.69999999999999</v>
      </c>
      <c r="K48" s="157">
        <v>129.9</v>
      </c>
      <c r="L48" s="125">
        <v>130.1</v>
      </c>
      <c r="M48" s="133">
        <v>130.4</v>
      </c>
      <c r="N48" s="171">
        <v>130.6</v>
      </c>
      <c r="O48" s="102">
        <v>130.9</v>
      </c>
      <c r="P48" s="133">
        <v>131.19999999999999</v>
      </c>
      <c r="Q48" s="171">
        <v>131.5</v>
      </c>
      <c r="R48" s="125">
        <v>131.80000000000001</v>
      </c>
      <c r="S48" s="133">
        <v>132.1</v>
      </c>
      <c r="T48" s="90">
        <v>132.5</v>
      </c>
      <c r="U48" s="102">
        <v>137.5</v>
      </c>
      <c r="V48" s="133">
        <v>137.9</v>
      </c>
      <c r="W48" s="90">
        <v>138.19999999999999</v>
      </c>
      <c r="X48" s="125">
        <v>138.6</v>
      </c>
      <c r="Y48" s="133">
        <v>139</v>
      </c>
      <c r="Z48" s="90">
        <v>139.4</v>
      </c>
      <c r="AA48" s="125">
        <v>139.80000000000001</v>
      </c>
      <c r="AB48" s="133">
        <v>140.19999999999999</v>
      </c>
      <c r="AC48" s="139">
        <v>140.69999999999999</v>
      </c>
      <c r="AD48" s="125">
        <v>141.19999999999999</v>
      </c>
      <c r="AE48" s="133">
        <v>141.69999999999999</v>
      </c>
      <c r="AF48" s="84">
        <v>142.19999999999999</v>
      </c>
      <c r="AG48" s="126">
        <v>142.80000000000001</v>
      </c>
      <c r="AH48" s="127">
        <v>143.19999999999999</v>
      </c>
      <c r="AI48" s="88">
        <v>143.69999999999999</v>
      </c>
      <c r="AJ48" s="107">
        <v>144</v>
      </c>
      <c r="AK48" s="1208">
        <v>144.4</v>
      </c>
    </row>
    <row r="49" spans="1:37" x14ac:dyDescent="0.35">
      <c r="A49" s="146">
        <v>42</v>
      </c>
      <c r="B49" s="45" t="s">
        <v>1779</v>
      </c>
      <c r="C49" s="157">
        <v>108.3</v>
      </c>
      <c r="D49" s="157">
        <v>108.3</v>
      </c>
      <c r="E49" s="158">
        <v>108.3</v>
      </c>
      <c r="F49" s="158">
        <v>107.6</v>
      </c>
      <c r="G49" s="158">
        <v>107.6</v>
      </c>
      <c r="H49" s="158">
        <v>107.6</v>
      </c>
      <c r="I49" s="157">
        <v>112.9</v>
      </c>
      <c r="J49" s="158">
        <v>112.9</v>
      </c>
      <c r="K49" s="157">
        <v>112.9</v>
      </c>
      <c r="L49" s="125">
        <v>112.5</v>
      </c>
      <c r="M49" s="133">
        <v>112.5</v>
      </c>
      <c r="N49" s="171">
        <v>112.5</v>
      </c>
      <c r="O49" s="102">
        <v>115.2</v>
      </c>
      <c r="P49" s="133">
        <v>115.2</v>
      </c>
      <c r="Q49" s="171">
        <v>115.2</v>
      </c>
      <c r="R49" s="125">
        <v>117</v>
      </c>
      <c r="S49" s="133">
        <v>117</v>
      </c>
      <c r="T49" s="90">
        <v>117</v>
      </c>
      <c r="U49" s="102">
        <v>133.5</v>
      </c>
      <c r="V49" s="133">
        <v>133.5</v>
      </c>
      <c r="W49" s="90">
        <v>133.5</v>
      </c>
      <c r="X49" s="125">
        <v>134.1</v>
      </c>
      <c r="Y49" s="133">
        <v>134.1</v>
      </c>
      <c r="Z49" s="90">
        <v>134.1</v>
      </c>
      <c r="AA49" s="125">
        <v>134.4</v>
      </c>
      <c r="AB49" s="133">
        <v>134.4</v>
      </c>
      <c r="AC49" s="139">
        <v>134.4</v>
      </c>
      <c r="AD49" s="125">
        <v>134.80000000000001</v>
      </c>
      <c r="AE49" s="133">
        <v>134.80000000000001</v>
      </c>
      <c r="AF49" s="84">
        <v>134.80000000000001</v>
      </c>
      <c r="AG49" s="126">
        <v>110.6</v>
      </c>
      <c r="AH49" s="127">
        <v>137</v>
      </c>
      <c r="AI49" s="88">
        <v>137</v>
      </c>
      <c r="AJ49" s="107">
        <v>137</v>
      </c>
      <c r="AK49" s="1208">
        <v>137</v>
      </c>
    </row>
    <row r="50" spans="1:37" x14ac:dyDescent="0.35">
      <c r="A50" s="146">
        <v>43</v>
      </c>
      <c r="B50" s="47" t="s">
        <v>244</v>
      </c>
      <c r="C50" s="155">
        <v>644.70000000000005</v>
      </c>
      <c r="D50" s="155">
        <v>606.4</v>
      </c>
      <c r="E50" s="156">
        <v>574.4</v>
      </c>
      <c r="F50" s="156">
        <v>577.4</v>
      </c>
      <c r="G50" s="156">
        <v>664.1</v>
      </c>
      <c r="H50" s="156">
        <v>702.3</v>
      </c>
      <c r="I50" s="155">
        <v>871.1</v>
      </c>
      <c r="J50" s="156">
        <v>926</v>
      </c>
      <c r="K50" s="155">
        <v>1047.5</v>
      </c>
      <c r="L50" s="124">
        <v>1042.5</v>
      </c>
      <c r="M50" s="132">
        <v>1060</v>
      </c>
      <c r="N50" s="170">
        <v>980.1</v>
      </c>
      <c r="O50" s="101">
        <v>890.7</v>
      </c>
      <c r="P50" s="132">
        <v>909.4</v>
      </c>
      <c r="Q50" s="170">
        <v>791.6</v>
      </c>
      <c r="R50" s="124">
        <v>781</v>
      </c>
      <c r="S50" s="132">
        <v>766</v>
      </c>
      <c r="T50" s="208">
        <v>732.3</v>
      </c>
      <c r="U50" s="101">
        <v>1173.5</v>
      </c>
      <c r="V50" s="132">
        <v>1146.2</v>
      </c>
      <c r="W50" s="208">
        <v>1124.5</v>
      </c>
      <c r="X50" s="124">
        <v>1098.0999999999999</v>
      </c>
      <c r="Y50" s="132">
        <v>1054.5999999999999</v>
      </c>
      <c r="Z50" s="208">
        <v>1030.5999999999999</v>
      </c>
      <c r="AA50" s="124">
        <v>931.9</v>
      </c>
      <c r="AB50" s="132">
        <v>904.3</v>
      </c>
      <c r="AC50" s="138">
        <v>830.7</v>
      </c>
      <c r="AD50" s="124">
        <v>892.7</v>
      </c>
      <c r="AE50" s="132">
        <v>845.6</v>
      </c>
      <c r="AF50" s="89">
        <v>765.1</v>
      </c>
      <c r="AG50" s="195">
        <v>918.8</v>
      </c>
      <c r="AH50" s="206">
        <v>986.2</v>
      </c>
      <c r="AI50" s="89">
        <v>985.1</v>
      </c>
      <c r="AJ50" s="107">
        <v>1111.2</v>
      </c>
      <c r="AK50" s="1208">
        <v>1013.9</v>
      </c>
    </row>
    <row r="51" spans="1:37" x14ac:dyDescent="0.35">
      <c r="A51" s="147">
        <v>44</v>
      </c>
      <c r="B51" s="98" t="s">
        <v>1780</v>
      </c>
      <c r="C51" s="155">
        <v>3.5</v>
      </c>
      <c r="D51" s="155">
        <v>3.2</v>
      </c>
      <c r="E51" s="156">
        <v>3</v>
      </c>
      <c r="F51" s="156">
        <v>3</v>
      </c>
      <c r="G51" s="156">
        <v>3.5</v>
      </c>
      <c r="H51" s="156">
        <v>3.7</v>
      </c>
      <c r="I51" s="155">
        <v>4.4000000000000004</v>
      </c>
      <c r="J51" s="156">
        <v>4.7</v>
      </c>
      <c r="K51" s="155">
        <v>5.2</v>
      </c>
      <c r="L51" s="124">
        <v>5.2</v>
      </c>
      <c r="M51" s="132">
        <v>5.3</v>
      </c>
      <c r="N51" s="170">
        <v>4.8</v>
      </c>
      <c r="O51" s="101">
        <v>4.4000000000000004</v>
      </c>
      <c r="P51" s="132">
        <v>4.5</v>
      </c>
      <c r="Q51" s="170">
        <v>3.9</v>
      </c>
      <c r="R51" s="124">
        <v>3.8</v>
      </c>
      <c r="S51" s="132">
        <v>3.7</v>
      </c>
      <c r="T51" s="208">
        <v>3.6</v>
      </c>
      <c r="U51" s="101">
        <v>5.5</v>
      </c>
      <c r="V51" s="132">
        <v>5.4</v>
      </c>
      <c r="W51" s="208">
        <v>5.2</v>
      </c>
      <c r="X51" s="124">
        <v>5.0999999999999996</v>
      </c>
      <c r="Y51" s="132">
        <v>4.9000000000000004</v>
      </c>
      <c r="Z51" s="208">
        <v>4.8</v>
      </c>
      <c r="AA51" s="124">
        <v>4.3</v>
      </c>
      <c r="AB51" s="132">
        <v>4.2</v>
      </c>
      <c r="AC51" s="138">
        <v>3.8</v>
      </c>
      <c r="AD51" s="124">
        <v>4.0999999999999996</v>
      </c>
      <c r="AE51" s="132">
        <v>3.9</v>
      </c>
      <c r="AF51" s="89">
        <v>3.5</v>
      </c>
      <c r="AG51" s="195">
        <v>4.2</v>
      </c>
      <c r="AH51" s="206">
        <v>4.4000000000000004</v>
      </c>
      <c r="AI51" s="89">
        <v>4.4000000000000004</v>
      </c>
      <c r="AJ51" s="107">
        <v>4.9000000000000004</v>
      </c>
      <c r="AK51" s="1208">
        <v>4.5</v>
      </c>
    </row>
    <row r="52" spans="1:37" x14ac:dyDescent="0.35">
      <c r="A52" s="146"/>
      <c r="B52" s="47" t="s">
        <v>1732</v>
      </c>
      <c r="C52" s="155"/>
      <c r="D52" s="155"/>
      <c r="E52" s="156"/>
      <c r="F52" s="156"/>
      <c r="G52" s="156"/>
      <c r="H52" s="156"/>
      <c r="I52" s="155"/>
      <c r="J52" s="156"/>
      <c r="K52" s="155"/>
      <c r="L52" s="124"/>
      <c r="M52" s="132"/>
      <c r="N52" s="170"/>
      <c r="O52" s="101"/>
      <c r="P52" s="132"/>
      <c r="Q52" s="170"/>
      <c r="R52" s="124"/>
      <c r="S52" s="132"/>
      <c r="T52" s="208"/>
      <c r="U52" s="101"/>
      <c r="V52" s="132"/>
      <c r="W52" s="208"/>
      <c r="X52" s="124"/>
      <c r="Y52" s="132"/>
      <c r="Z52" s="208"/>
      <c r="AA52" s="124"/>
      <c r="AB52" s="132"/>
      <c r="AC52" s="138"/>
      <c r="AD52" s="124"/>
      <c r="AE52" s="132"/>
      <c r="AF52" s="88"/>
      <c r="AG52" s="126"/>
      <c r="AH52" s="127"/>
      <c r="AI52" s="88"/>
      <c r="AJ52" s="107"/>
      <c r="AK52" s="1208"/>
    </row>
    <row r="53" spans="1:37" ht="31" customHeight="1" x14ac:dyDescent="0.35">
      <c r="A53" s="147">
        <v>45</v>
      </c>
      <c r="B53" s="98" t="s">
        <v>1781</v>
      </c>
      <c r="C53" s="155">
        <v>14559.1</v>
      </c>
      <c r="D53" s="155">
        <v>14618.2</v>
      </c>
      <c r="E53" s="156">
        <v>14653.2</v>
      </c>
      <c r="F53" s="156">
        <v>14618.1</v>
      </c>
      <c r="G53" s="156">
        <v>14607</v>
      </c>
      <c r="H53" s="156">
        <v>14604.2</v>
      </c>
      <c r="I53" s="155">
        <v>15496.1</v>
      </c>
      <c r="J53" s="156">
        <v>15529.2</v>
      </c>
      <c r="K53" s="155">
        <v>15596.8</v>
      </c>
      <c r="L53" s="124">
        <v>15592.2</v>
      </c>
      <c r="M53" s="132">
        <v>15622.4</v>
      </c>
      <c r="N53" s="170">
        <v>15638</v>
      </c>
      <c r="O53" s="101">
        <v>15691.7</v>
      </c>
      <c r="P53" s="132">
        <v>15726.6</v>
      </c>
      <c r="Q53" s="170">
        <v>15741.9</v>
      </c>
      <c r="R53" s="124">
        <v>15749.7</v>
      </c>
      <c r="S53" s="132">
        <v>15795.9</v>
      </c>
      <c r="T53" s="208">
        <v>15823.3</v>
      </c>
      <c r="U53" s="101">
        <v>16227.8</v>
      </c>
      <c r="V53" s="132">
        <v>16232.7</v>
      </c>
      <c r="W53" s="208">
        <v>16269.5</v>
      </c>
      <c r="X53" s="124">
        <v>16240.4</v>
      </c>
      <c r="Y53" s="132">
        <v>16291.7</v>
      </c>
      <c r="Z53" s="208">
        <v>16292.1</v>
      </c>
      <c r="AA53" s="124">
        <v>16281.1</v>
      </c>
      <c r="AB53" s="132">
        <v>16279.2</v>
      </c>
      <c r="AC53" s="138">
        <v>16283.1</v>
      </c>
      <c r="AD53" s="124">
        <v>16359.2</v>
      </c>
      <c r="AE53" s="132">
        <v>16412.099999999999</v>
      </c>
      <c r="AF53" s="89">
        <v>16434.599999999999</v>
      </c>
      <c r="AG53" s="195">
        <v>16430.3</v>
      </c>
      <c r="AH53" s="206">
        <v>16428.599999999999</v>
      </c>
      <c r="AI53" s="89">
        <v>16522.599999999999</v>
      </c>
      <c r="AJ53" s="107">
        <v>16556.900000000001</v>
      </c>
      <c r="AK53" s="1208">
        <v>16535.099999999999</v>
      </c>
    </row>
    <row r="54" spans="1:37" x14ac:dyDescent="0.35">
      <c r="A54" s="146"/>
      <c r="B54" s="179" t="s">
        <v>1782</v>
      </c>
      <c r="C54" s="155"/>
      <c r="D54" s="155"/>
      <c r="E54" s="156"/>
      <c r="F54" s="156"/>
      <c r="G54" s="156"/>
      <c r="H54" s="156"/>
      <c r="I54" s="155"/>
      <c r="J54" s="156"/>
      <c r="K54" s="155"/>
      <c r="L54" s="124"/>
      <c r="M54" s="132"/>
      <c r="N54" s="170"/>
      <c r="O54" s="101"/>
      <c r="P54" s="132"/>
      <c r="Q54" s="170"/>
      <c r="R54" s="124"/>
      <c r="S54" s="132"/>
      <c r="T54" s="208"/>
      <c r="U54" s="101"/>
      <c r="V54" s="132"/>
      <c r="W54" s="208"/>
      <c r="X54" s="124"/>
      <c r="Y54" s="132"/>
      <c r="Z54" s="208"/>
      <c r="AA54" s="124"/>
      <c r="AB54" s="132"/>
      <c r="AC54" s="138"/>
      <c r="AD54" s="124"/>
      <c r="AE54" s="132"/>
      <c r="AF54" s="88"/>
      <c r="AG54" s="126"/>
      <c r="AH54" s="127"/>
      <c r="AI54" s="88"/>
      <c r="AJ54" s="107"/>
      <c r="AK54" s="1208"/>
    </row>
    <row r="55" spans="1:37" ht="16.399999999999999" customHeight="1" x14ac:dyDescent="0.35">
      <c r="A55" s="146">
        <v>46</v>
      </c>
      <c r="B55" s="182" t="s">
        <v>1783</v>
      </c>
      <c r="C55" s="157">
        <v>15100.2</v>
      </c>
      <c r="D55" s="157">
        <v>15149.6</v>
      </c>
      <c r="E55" s="158">
        <v>15172.2</v>
      </c>
      <c r="F55" s="158">
        <v>15218.9</v>
      </c>
      <c r="G55" s="158">
        <v>15238.7</v>
      </c>
      <c r="H55" s="158">
        <v>15250.6</v>
      </c>
      <c r="I55" s="157">
        <v>16601.900000000001</v>
      </c>
      <c r="J55" s="158">
        <v>16656.099999999999</v>
      </c>
      <c r="K55" s="157">
        <v>16730.2</v>
      </c>
      <c r="L55" s="125">
        <v>16763.900000000001</v>
      </c>
      <c r="M55" s="133">
        <v>16818.5</v>
      </c>
      <c r="N55" s="171">
        <v>16809.5</v>
      </c>
      <c r="O55" s="102">
        <v>16816.400000000001</v>
      </c>
      <c r="P55" s="133">
        <v>16826.2</v>
      </c>
      <c r="Q55" s="171">
        <v>16816.3</v>
      </c>
      <c r="R55" s="125">
        <v>16819.900000000001</v>
      </c>
      <c r="S55" s="133">
        <v>16859.599999999999</v>
      </c>
      <c r="T55" s="90">
        <v>16889.2</v>
      </c>
      <c r="U55" s="102">
        <v>17426.2</v>
      </c>
      <c r="V55" s="133">
        <v>17442.400000000001</v>
      </c>
      <c r="W55" s="90">
        <v>17486.900000000001</v>
      </c>
      <c r="X55" s="125">
        <v>17464.900000000001</v>
      </c>
      <c r="Y55" s="133">
        <v>17511.099999999999</v>
      </c>
      <c r="Z55" s="90">
        <v>17515.599999999999</v>
      </c>
      <c r="AA55" s="125">
        <v>17505</v>
      </c>
      <c r="AB55" s="133">
        <v>17494.599999999999</v>
      </c>
      <c r="AC55" s="139">
        <v>17519.599999999999</v>
      </c>
      <c r="AD55" s="125">
        <v>17586.3</v>
      </c>
      <c r="AE55" s="133">
        <v>17618</v>
      </c>
      <c r="AF55" s="88">
        <v>17638.599999999999</v>
      </c>
      <c r="AG55" s="126">
        <v>17647.900000000001</v>
      </c>
      <c r="AH55" s="127">
        <v>17702.900000000001</v>
      </c>
      <c r="AI55" s="88">
        <v>17814.8</v>
      </c>
      <c r="AJ55" s="107">
        <v>17929.900000000001</v>
      </c>
      <c r="AK55" s="1208">
        <v>17806.5</v>
      </c>
    </row>
    <row r="56" spans="1:37" x14ac:dyDescent="0.35">
      <c r="A56" s="146"/>
      <c r="B56" s="45" t="s">
        <v>1784</v>
      </c>
      <c r="C56" s="157"/>
      <c r="D56" s="157"/>
      <c r="E56" s="158"/>
      <c r="F56" s="158"/>
      <c r="G56" s="158"/>
      <c r="H56" s="158"/>
      <c r="I56" s="157"/>
      <c r="J56" s="158"/>
      <c r="K56" s="157"/>
      <c r="L56" s="125"/>
      <c r="M56" s="133"/>
      <c r="N56" s="171"/>
      <c r="O56" s="102"/>
      <c r="P56" s="133"/>
      <c r="Q56" s="171"/>
      <c r="R56" s="125"/>
      <c r="S56" s="133"/>
      <c r="T56" s="90"/>
      <c r="U56" s="102"/>
      <c r="V56" s="133"/>
      <c r="W56" s="90"/>
      <c r="X56" s="125"/>
      <c r="Y56" s="133"/>
      <c r="Z56" s="90"/>
      <c r="AA56" s="125"/>
      <c r="AB56" s="133"/>
      <c r="AC56" s="139"/>
      <c r="AD56" s="125"/>
      <c r="AE56" s="133"/>
      <c r="AF56" s="88"/>
      <c r="AG56" s="126"/>
      <c r="AH56" s="127"/>
      <c r="AI56" s="88"/>
      <c r="AJ56" s="107"/>
      <c r="AK56" s="1208"/>
    </row>
    <row r="57" spans="1:37" x14ac:dyDescent="0.35">
      <c r="A57" s="146">
        <v>47</v>
      </c>
      <c r="B57" s="184" t="s">
        <v>1785</v>
      </c>
      <c r="C57" s="159">
        <v>55836</v>
      </c>
      <c r="D57" s="159">
        <v>56139</v>
      </c>
      <c r="E57" s="160">
        <v>56387</v>
      </c>
      <c r="F57" s="160">
        <v>56770</v>
      </c>
      <c r="G57" s="160">
        <v>56917</v>
      </c>
      <c r="H57" s="160">
        <v>57053</v>
      </c>
      <c r="I57" s="159">
        <v>59062</v>
      </c>
      <c r="J57" s="160">
        <v>59423</v>
      </c>
      <c r="K57" s="159">
        <v>59738</v>
      </c>
      <c r="L57" s="128">
        <v>60018</v>
      </c>
      <c r="M57" s="134">
        <v>60253</v>
      </c>
      <c r="N57" s="172">
        <v>60309</v>
      </c>
      <c r="O57" s="104">
        <v>60380</v>
      </c>
      <c r="P57" s="134">
        <v>60598</v>
      </c>
      <c r="Q57" s="172">
        <v>60762</v>
      </c>
      <c r="R57" s="128">
        <v>60767</v>
      </c>
      <c r="S57" s="134">
        <v>60876</v>
      </c>
      <c r="T57" s="96">
        <v>61033</v>
      </c>
      <c r="U57" s="104">
        <v>63293</v>
      </c>
      <c r="V57" s="134">
        <v>63527</v>
      </c>
      <c r="W57" s="96">
        <v>63885</v>
      </c>
      <c r="X57" s="128">
        <v>63947</v>
      </c>
      <c r="Y57" s="134">
        <v>64085</v>
      </c>
      <c r="Z57" s="96">
        <v>64149</v>
      </c>
      <c r="AA57" s="128">
        <v>63536</v>
      </c>
      <c r="AB57" s="134">
        <v>63541</v>
      </c>
      <c r="AC57" s="140">
        <v>63706</v>
      </c>
      <c r="AD57" s="128">
        <v>64083</v>
      </c>
      <c r="AE57" s="134">
        <v>64236</v>
      </c>
      <c r="AF57" s="88">
        <v>64474</v>
      </c>
      <c r="AG57" s="126">
        <v>64726</v>
      </c>
      <c r="AH57" s="127">
        <v>65178</v>
      </c>
      <c r="AI57" s="88">
        <v>65573</v>
      </c>
      <c r="AJ57" s="107">
        <v>66046</v>
      </c>
      <c r="AK57" s="1208">
        <v>65651</v>
      </c>
    </row>
    <row r="58" spans="1:37" x14ac:dyDescent="0.35">
      <c r="A58" s="146">
        <v>48</v>
      </c>
      <c r="B58" s="184" t="s">
        <v>1786</v>
      </c>
      <c r="C58" s="159">
        <v>45261</v>
      </c>
      <c r="D58" s="159">
        <v>45385</v>
      </c>
      <c r="E58" s="160">
        <v>45429</v>
      </c>
      <c r="F58" s="160">
        <v>45546</v>
      </c>
      <c r="G58" s="160">
        <v>45586</v>
      </c>
      <c r="H58" s="160">
        <v>45603</v>
      </c>
      <c r="I58" s="159">
        <v>49627</v>
      </c>
      <c r="J58" s="160">
        <v>49774</v>
      </c>
      <c r="K58" s="159">
        <v>49978</v>
      </c>
      <c r="L58" s="128">
        <v>50060</v>
      </c>
      <c r="M58" s="134">
        <v>50203</v>
      </c>
      <c r="N58" s="172">
        <v>50166</v>
      </c>
      <c r="O58" s="104">
        <v>50161</v>
      </c>
      <c r="P58" s="134">
        <v>50163</v>
      </c>
      <c r="Q58" s="172">
        <v>50106</v>
      </c>
      <c r="R58" s="128">
        <v>50093</v>
      </c>
      <c r="S58" s="134">
        <v>50188</v>
      </c>
      <c r="T58" s="96">
        <v>50255</v>
      </c>
      <c r="U58" s="104">
        <v>51834</v>
      </c>
      <c r="V58" s="134">
        <v>51865</v>
      </c>
      <c r="W58" s="96">
        <v>51979</v>
      </c>
      <c r="X58" s="128">
        <v>51894</v>
      </c>
      <c r="Y58" s="134">
        <v>52010</v>
      </c>
      <c r="Z58" s="96">
        <v>52000</v>
      </c>
      <c r="AA58" s="128">
        <v>51418</v>
      </c>
      <c r="AB58" s="134">
        <v>51359</v>
      </c>
      <c r="AC58" s="140">
        <v>51404</v>
      </c>
      <c r="AD58" s="128">
        <v>51572</v>
      </c>
      <c r="AE58" s="134">
        <v>51640</v>
      </c>
      <c r="AF58" s="88">
        <v>51678</v>
      </c>
      <c r="AG58" s="126">
        <v>51685</v>
      </c>
      <c r="AH58" s="127">
        <v>51825</v>
      </c>
      <c r="AI58" s="88">
        <v>52131</v>
      </c>
      <c r="AJ58" s="107">
        <v>52446</v>
      </c>
      <c r="AK58" s="1208">
        <v>52061</v>
      </c>
    </row>
    <row r="59" spans="1:37" ht="15" customHeight="1" x14ac:dyDescent="0.35">
      <c r="A59" s="148">
        <v>49</v>
      </c>
      <c r="B59" s="119" t="s">
        <v>1787</v>
      </c>
      <c r="C59" s="161">
        <v>333624</v>
      </c>
      <c r="D59" s="161">
        <v>333799</v>
      </c>
      <c r="E59" s="162">
        <v>333976</v>
      </c>
      <c r="F59" s="162">
        <v>334141</v>
      </c>
      <c r="G59" s="162">
        <v>334287</v>
      </c>
      <c r="H59" s="162">
        <v>334420</v>
      </c>
      <c r="I59" s="161">
        <v>334533</v>
      </c>
      <c r="J59" s="162">
        <v>334637</v>
      </c>
      <c r="K59" s="161">
        <v>334753</v>
      </c>
      <c r="L59" s="129">
        <v>334880</v>
      </c>
      <c r="M59" s="135">
        <v>335013</v>
      </c>
      <c r="N59" s="173">
        <v>335080</v>
      </c>
      <c r="O59" s="108">
        <v>335248</v>
      </c>
      <c r="P59" s="135">
        <v>335431</v>
      </c>
      <c r="Q59" s="173">
        <v>335612</v>
      </c>
      <c r="R59" s="129">
        <v>335773</v>
      </c>
      <c r="S59" s="135">
        <v>335925</v>
      </c>
      <c r="T59" s="97">
        <v>336070</v>
      </c>
      <c r="U59" s="108">
        <v>336194</v>
      </c>
      <c r="V59" s="135">
        <v>336306</v>
      </c>
      <c r="W59" s="97">
        <v>336423</v>
      </c>
      <c r="X59" s="129">
        <v>336550</v>
      </c>
      <c r="Y59" s="135">
        <v>336687</v>
      </c>
      <c r="Z59" s="97">
        <v>336839</v>
      </c>
      <c r="AA59" s="129">
        <v>340448</v>
      </c>
      <c r="AB59" s="135">
        <v>340637</v>
      </c>
      <c r="AC59" s="141">
        <v>340825</v>
      </c>
      <c r="AD59" s="128">
        <v>341002</v>
      </c>
      <c r="AE59" s="134">
        <v>341169</v>
      </c>
      <c r="AF59" s="88">
        <v>341320</v>
      </c>
      <c r="AG59" s="126">
        <v>341454</v>
      </c>
      <c r="AH59" s="127">
        <v>341588</v>
      </c>
      <c r="AI59" s="88">
        <v>341729</v>
      </c>
      <c r="AJ59" s="107">
        <v>341874</v>
      </c>
      <c r="AK59" s="1208">
        <v>342032</v>
      </c>
    </row>
    <row r="60" spans="1:37" x14ac:dyDescent="0.35">
      <c r="A60" s="1338" t="s">
        <v>1788</v>
      </c>
      <c r="B60" s="1338"/>
      <c r="C60" s="1338"/>
      <c r="D60" s="1338"/>
      <c r="E60" s="1338"/>
      <c r="F60" s="1338"/>
      <c r="G60" s="1338"/>
      <c r="H60" s="1338"/>
      <c r="I60" s="1338"/>
      <c r="J60" s="1338"/>
      <c r="K60" s="151"/>
      <c r="L60" s="200"/>
      <c r="M60" s="114"/>
      <c r="N60" s="188"/>
      <c r="O60" s="200"/>
      <c r="P60" s="114"/>
      <c r="Q60" s="188"/>
      <c r="R60" s="200"/>
      <c r="S60" s="114"/>
      <c r="T60" s="188"/>
      <c r="U60" s="200"/>
      <c r="V60" s="114"/>
      <c r="W60" s="188"/>
      <c r="X60" s="200"/>
      <c r="Y60" s="114"/>
      <c r="Z60" s="188"/>
      <c r="AA60" s="200"/>
      <c r="AB60" s="114"/>
      <c r="AC60" s="188"/>
      <c r="AD60" s="200"/>
      <c r="AE60" s="114"/>
      <c r="AF60" s="88"/>
      <c r="AG60" s="126"/>
      <c r="AH60" s="127"/>
      <c r="AI60" s="88"/>
      <c r="AJ60" s="107"/>
      <c r="AK60" s="1208"/>
    </row>
    <row r="61" spans="1:37" x14ac:dyDescent="0.35">
      <c r="A61" s="1324" t="s">
        <v>1789</v>
      </c>
      <c r="B61" s="1324"/>
      <c r="C61" s="1324"/>
      <c r="D61" s="1324"/>
      <c r="E61" s="1324"/>
      <c r="F61" s="1324"/>
      <c r="G61" s="1324"/>
      <c r="H61" s="1324"/>
      <c r="I61" s="1324"/>
      <c r="J61" s="1324"/>
      <c r="K61" s="117"/>
      <c r="L61" s="201"/>
      <c r="M61" s="115"/>
      <c r="N61" s="189"/>
      <c r="O61" s="201"/>
      <c r="P61" s="115"/>
      <c r="Q61" s="189"/>
      <c r="R61" s="201"/>
      <c r="S61" s="115"/>
      <c r="T61" s="189"/>
      <c r="U61" s="201"/>
      <c r="V61" s="115"/>
      <c r="W61" s="189"/>
      <c r="X61" s="201"/>
      <c r="Y61" s="115"/>
      <c r="Z61" s="189"/>
      <c r="AA61" s="201"/>
      <c r="AB61" s="115"/>
      <c r="AC61" s="189"/>
      <c r="AD61" s="201"/>
      <c r="AE61" s="115"/>
      <c r="AF61" s="88"/>
      <c r="AG61" s="126"/>
      <c r="AH61" s="127"/>
      <c r="AI61" s="88"/>
      <c r="AJ61" s="107"/>
      <c r="AK61" s="1208"/>
    </row>
    <row r="62" spans="1:37" x14ac:dyDescent="0.35">
      <c r="A62" s="1324" t="s">
        <v>1790</v>
      </c>
      <c r="B62" s="1324"/>
      <c r="C62" s="1324"/>
      <c r="D62" s="1324"/>
      <c r="E62" s="1324"/>
      <c r="F62" s="1324"/>
      <c r="G62" s="1324"/>
      <c r="H62" s="1324"/>
      <c r="I62" s="1324"/>
      <c r="J62" s="1324"/>
      <c r="K62" s="117"/>
      <c r="L62" s="201"/>
      <c r="M62" s="115"/>
      <c r="N62" s="189"/>
      <c r="O62" s="201"/>
      <c r="P62" s="115"/>
      <c r="Q62" s="189"/>
      <c r="R62" s="201"/>
      <c r="S62" s="115"/>
      <c r="T62" s="189"/>
      <c r="U62" s="201"/>
      <c r="V62" s="115"/>
      <c r="W62" s="189"/>
      <c r="X62" s="201"/>
      <c r="Y62" s="115"/>
      <c r="Z62" s="189"/>
      <c r="AA62" s="201"/>
      <c r="AB62" s="115"/>
      <c r="AC62" s="189"/>
      <c r="AD62" s="201"/>
      <c r="AE62" s="115"/>
      <c r="AF62" s="88"/>
      <c r="AG62" s="126"/>
      <c r="AH62" s="127"/>
      <c r="AI62" s="88"/>
      <c r="AJ62" s="107"/>
      <c r="AK62" s="1208"/>
    </row>
    <row r="63" spans="1:37" x14ac:dyDescent="0.35">
      <c r="A63" s="1324" t="s">
        <v>1791</v>
      </c>
      <c r="B63" s="1324"/>
      <c r="C63" s="1324"/>
      <c r="D63" s="1324"/>
      <c r="E63" s="1324"/>
      <c r="F63" s="1324"/>
      <c r="G63" s="1324"/>
      <c r="H63" s="1324"/>
      <c r="I63" s="1324"/>
      <c r="J63" s="1324"/>
      <c r="K63" s="117"/>
      <c r="L63" s="201"/>
      <c r="M63" s="115"/>
      <c r="N63" s="189"/>
      <c r="O63" s="201"/>
      <c r="P63" s="115"/>
      <c r="Q63" s="189"/>
      <c r="R63" s="201"/>
      <c r="S63" s="115"/>
      <c r="T63" s="189"/>
      <c r="U63" s="201"/>
      <c r="V63" s="115"/>
      <c r="W63" s="189"/>
      <c r="X63" s="201"/>
      <c r="Y63" s="115"/>
      <c r="Z63" s="189"/>
      <c r="AA63" s="201"/>
      <c r="AB63" s="115"/>
      <c r="AC63" s="189"/>
      <c r="AD63" s="201"/>
      <c r="AE63" s="115"/>
      <c r="AF63" s="88"/>
      <c r="AG63" s="126"/>
      <c r="AH63" s="127"/>
      <c r="AI63" s="88"/>
      <c r="AJ63" s="107"/>
      <c r="AK63" s="1208"/>
    </row>
    <row r="64" spans="1:37" x14ac:dyDescent="0.35">
      <c r="A64" s="1324" t="s">
        <v>1792</v>
      </c>
      <c r="B64" s="1324"/>
      <c r="C64" s="1324"/>
      <c r="D64" s="1324"/>
      <c r="E64" s="1324"/>
      <c r="F64" s="1324"/>
      <c r="G64" s="1324"/>
      <c r="H64" s="1324"/>
      <c r="I64" s="1324"/>
      <c r="J64" s="1324"/>
      <c r="K64" s="117"/>
      <c r="L64" s="201"/>
      <c r="M64" s="115"/>
      <c r="N64" s="189"/>
      <c r="O64" s="201"/>
      <c r="P64" s="115"/>
      <c r="Q64" s="189"/>
      <c r="R64" s="201"/>
      <c r="S64" s="115"/>
      <c r="T64" s="189"/>
      <c r="U64" s="201"/>
      <c r="V64" s="115"/>
      <c r="W64" s="189"/>
      <c r="X64" s="201"/>
      <c r="Y64" s="115"/>
      <c r="Z64" s="189"/>
      <c r="AA64" s="201"/>
      <c r="AB64" s="115"/>
      <c r="AC64" s="189"/>
      <c r="AD64" s="201"/>
      <c r="AE64" s="115"/>
      <c r="AF64" s="88"/>
      <c r="AG64" s="126"/>
      <c r="AH64" s="127"/>
      <c r="AI64" s="88"/>
      <c r="AJ64" s="107"/>
      <c r="AK64" s="1208"/>
    </row>
    <row r="65" spans="1:37" x14ac:dyDescent="0.35">
      <c r="A65" s="1324" t="s">
        <v>1793</v>
      </c>
      <c r="B65" s="1324"/>
      <c r="C65" s="1324"/>
      <c r="D65" s="1324"/>
      <c r="E65" s="1324"/>
      <c r="F65" s="1324"/>
      <c r="G65" s="1324"/>
      <c r="H65" s="1324"/>
      <c r="I65" s="1324"/>
      <c r="J65" s="1324"/>
      <c r="K65" s="117"/>
      <c r="L65" s="201"/>
      <c r="M65" s="115"/>
      <c r="N65" s="189"/>
      <c r="O65" s="201"/>
      <c r="P65" s="115"/>
      <c r="Q65" s="189"/>
      <c r="R65" s="201"/>
      <c r="S65" s="115"/>
      <c r="T65" s="189"/>
      <c r="U65" s="201"/>
      <c r="V65" s="115"/>
      <c r="W65" s="189"/>
      <c r="X65" s="201"/>
      <c r="Y65" s="115"/>
      <c r="Z65" s="189"/>
      <c r="AA65" s="201"/>
      <c r="AB65" s="115"/>
      <c r="AC65" s="189"/>
      <c r="AD65" s="201"/>
      <c r="AE65" s="115"/>
      <c r="AF65" s="88"/>
      <c r="AG65" s="126"/>
      <c r="AH65" s="127"/>
      <c r="AI65" s="88"/>
      <c r="AJ65" s="107"/>
      <c r="AK65" s="1208"/>
    </row>
    <row r="66" spans="1:37" ht="14.5" customHeight="1" x14ac:dyDescent="0.35">
      <c r="A66" s="1324" t="s">
        <v>1794</v>
      </c>
      <c r="B66" s="1324"/>
      <c r="C66" s="1324"/>
      <c r="D66" s="1324"/>
      <c r="E66" s="1324"/>
      <c r="F66" s="1324"/>
      <c r="G66" s="1324"/>
      <c r="H66" s="1324"/>
      <c r="I66" s="1324"/>
      <c r="J66" s="1324"/>
      <c r="K66" s="117"/>
      <c r="L66" s="201"/>
      <c r="M66" s="115"/>
      <c r="N66" s="189"/>
      <c r="O66" s="201"/>
      <c r="P66" s="115"/>
      <c r="Q66" s="189"/>
      <c r="R66" s="201"/>
      <c r="S66" s="115"/>
      <c r="T66" s="189"/>
      <c r="U66" s="201"/>
      <c r="V66" s="115"/>
      <c r="W66" s="189"/>
      <c r="X66" s="201"/>
      <c r="Y66" s="115"/>
      <c r="Z66" s="189"/>
      <c r="AA66" s="201"/>
      <c r="AB66" s="115"/>
      <c r="AC66" s="189"/>
      <c r="AD66" s="201"/>
      <c r="AE66" s="115"/>
      <c r="AF66" s="88"/>
      <c r="AG66" s="126"/>
      <c r="AH66" s="127"/>
      <c r="AI66" s="88"/>
      <c r="AJ66" s="107"/>
      <c r="AK66" s="1208"/>
    </row>
    <row r="67" spans="1:37" ht="14.5" customHeight="1" x14ac:dyDescent="0.35">
      <c r="A67" s="1342" t="s">
        <v>1795</v>
      </c>
      <c r="B67" s="1342"/>
      <c r="C67" s="1342"/>
      <c r="D67" s="1342"/>
      <c r="E67" s="1342"/>
      <c r="F67" s="1342"/>
      <c r="G67" s="1342"/>
      <c r="H67" s="1342"/>
      <c r="I67" s="1342"/>
      <c r="J67" s="1342"/>
      <c r="K67" s="118"/>
      <c r="L67" s="202"/>
      <c r="M67" s="142"/>
      <c r="N67" s="190"/>
      <c r="O67" s="202"/>
      <c r="P67" s="142"/>
      <c r="Q67" s="190"/>
      <c r="R67" s="202"/>
      <c r="S67" s="142"/>
      <c r="T67" s="190"/>
      <c r="U67" s="202"/>
      <c r="V67" s="142"/>
      <c r="W67" s="190"/>
      <c r="X67" s="202"/>
      <c r="Y67" s="142"/>
      <c r="Z67" s="190"/>
      <c r="AA67" s="202"/>
      <c r="AB67" s="142"/>
      <c r="AC67" s="190"/>
      <c r="AD67" s="202"/>
      <c r="AE67" s="142"/>
      <c r="AF67" s="88"/>
      <c r="AG67" s="126"/>
      <c r="AH67" s="127"/>
      <c r="AI67" s="88"/>
      <c r="AJ67" s="107"/>
      <c r="AK67" s="1208"/>
    </row>
    <row r="68" spans="1:37" ht="14.5" customHeight="1" x14ac:dyDescent="0.35">
      <c r="A68" s="1343" t="s">
        <v>246</v>
      </c>
      <c r="B68" s="1343"/>
      <c r="C68" s="1343"/>
      <c r="D68" s="1343"/>
      <c r="E68" s="1343"/>
      <c r="F68" s="1343"/>
      <c r="G68" s="1343"/>
      <c r="H68" s="1343"/>
      <c r="I68" s="1343"/>
      <c r="J68" s="1343"/>
      <c r="K68" s="119"/>
      <c r="L68" s="203"/>
      <c r="M68" s="143"/>
      <c r="N68" s="191"/>
      <c r="O68" s="203"/>
      <c r="P68" s="143"/>
      <c r="Q68" s="191"/>
      <c r="R68" s="203"/>
      <c r="S68" s="143"/>
      <c r="T68" s="191"/>
      <c r="U68" s="203"/>
      <c r="V68" s="143"/>
      <c r="W68" s="191"/>
      <c r="X68" s="203"/>
      <c r="Y68" s="143"/>
      <c r="Z68" s="191"/>
      <c r="AA68" s="203"/>
      <c r="AB68" s="143"/>
      <c r="AC68" s="191"/>
      <c r="AD68" s="203"/>
      <c r="AE68" s="143"/>
      <c r="AF68" s="88"/>
      <c r="AG68" s="126"/>
      <c r="AH68" s="127"/>
      <c r="AI68" s="88"/>
      <c r="AJ68" s="107"/>
      <c r="AK68" s="1208"/>
    </row>
    <row r="69" spans="1:37" x14ac:dyDescent="0.35">
      <c r="A69" s="1341" t="s">
        <v>880</v>
      </c>
      <c r="B69" s="1341"/>
      <c r="C69" s="1341"/>
      <c r="D69" s="1341"/>
      <c r="E69" s="1341"/>
      <c r="F69" s="1341"/>
      <c r="G69" s="1341"/>
    </row>
    <row r="70" spans="1:37" x14ac:dyDescent="0.35">
      <c r="A70" s="1344" t="s">
        <v>881</v>
      </c>
      <c r="B70" s="1344"/>
      <c r="C70" s="1344"/>
      <c r="D70" s="1344"/>
      <c r="E70" s="1344"/>
      <c r="F70" s="1344"/>
      <c r="G70" s="1344"/>
    </row>
    <row r="71" spans="1:37" x14ac:dyDescent="0.35">
      <c r="A71" s="1340" t="s">
        <v>882</v>
      </c>
      <c r="B71" s="1340"/>
      <c r="C71" s="1340"/>
      <c r="D71" s="1340"/>
      <c r="E71" s="1340"/>
      <c r="F71" s="1340"/>
      <c r="G71" s="1340"/>
    </row>
    <row r="72" spans="1:37" x14ac:dyDescent="0.35">
      <c r="A72" s="1339" t="s">
        <v>883</v>
      </c>
      <c r="B72" s="1339"/>
      <c r="C72" s="1339"/>
      <c r="D72" s="1339"/>
      <c r="E72" s="1339"/>
      <c r="F72" s="1339"/>
      <c r="G72" s="1339"/>
    </row>
    <row r="73" spans="1:37" x14ac:dyDescent="0.35">
      <c r="A73" s="1339" t="s">
        <v>884</v>
      </c>
      <c r="B73" s="1339"/>
      <c r="C73" s="1339"/>
      <c r="D73" s="1339"/>
      <c r="E73" s="1339"/>
      <c r="F73" s="1339"/>
      <c r="G73" s="1339"/>
    </row>
    <row r="74" spans="1:37" x14ac:dyDescent="0.35">
      <c r="A74" s="1340" t="s">
        <v>885</v>
      </c>
      <c r="B74" s="1340"/>
      <c r="C74" s="1340"/>
      <c r="D74" s="1340"/>
      <c r="E74" s="1340"/>
      <c r="F74" s="1340"/>
      <c r="G74" s="1340"/>
    </row>
    <row r="76" spans="1:37" x14ac:dyDescent="0.35">
      <c r="A76" s="1341" t="s">
        <v>886</v>
      </c>
      <c r="B76" s="1341"/>
      <c r="C76" s="1341"/>
      <c r="D76" s="1341"/>
      <c r="E76" s="1341"/>
      <c r="F76" s="1341"/>
      <c r="G76" s="1341"/>
    </row>
    <row r="78" spans="1:37" x14ac:dyDescent="0.35">
      <c r="A78" s="56" t="s">
        <v>245</v>
      </c>
    </row>
    <row r="80" spans="1:37" x14ac:dyDescent="0.35">
      <c r="A80" s="56" t="s">
        <v>246</v>
      </c>
    </row>
    <row r="82" spans="1:40" x14ac:dyDescent="0.35">
      <c r="A82" t="s">
        <v>876</v>
      </c>
      <c r="B82" t="s">
        <v>877</v>
      </c>
      <c r="C82" s="150">
        <v>44743</v>
      </c>
      <c r="D82" s="150">
        <v>44774</v>
      </c>
      <c r="E82" s="150">
        <v>44805</v>
      </c>
      <c r="F82" s="150">
        <v>44835</v>
      </c>
      <c r="G82" s="150">
        <v>44866</v>
      </c>
      <c r="H82" s="150">
        <v>44896</v>
      </c>
      <c r="I82" s="150">
        <v>44927</v>
      </c>
      <c r="J82" s="150">
        <v>44958</v>
      </c>
      <c r="K82" s="150">
        <v>44986</v>
      </c>
      <c r="L82" s="204">
        <v>45017</v>
      </c>
      <c r="M82" s="144">
        <v>45047</v>
      </c>
      <c r="N82" s="192">
        <v>45078</v>
      </c>
      <c r="O82" s="204">
        <v>45108</v>
      </c>
      <c r="P82" s="144">
        <v>45139</v>
      </c>
      <c r="Q82" s="192">
        <v>45170</v>
      </c>
      <c r="R82" s="204">
        <v>45200</v>
      </c>
      <c r="S82" s="144">
        <v>45231</v>
      </c>
      <c r="T82" s="192">
        <v>45261</v>
      </c>
      <c r="U82" s="204">
        <v>45292</v>
      </c>
      <c r="V82" s="144">
        <v>45323</v>
      </c>
      <c r="W82" s="192">
        <v>45352</v>
      </c>
      <c r="X82" s="204">
        <v>45383</v>
      </c>
      <c r="Y82" s="144">
        <v>45413</v>
      </c>
      <c r="Z82" s="192">
        <v>45444</v>
      </c>
      <c r="AA82" s="204">
        <v>45474</v>
      </c>
      <c r="AB82" s="144">
        <v>45505</v>
      </c>
      <c r="AC82" s="192">
        <v>45536</v>
      </c>
      <c r="AD82" s="204">
        <v>45566</v>
      </c>
      <c r="AE82" s="144">
        <v>45597</v>
      </c>
      <c r="AF82" s="192">
        <v>45627</v>
      </c>
      <c r="AG82" s="204">
        <v>45658</v>
      </c>
      <c r="AH82" s="144">
        <v>45689</v>
      </c>
      <c r="AI82" s="192">
        <v>45717</v>
      </c>
      <c r="AJ82" s="204">
        <v>45748</v>
      </c>
      <c r="AK82" s="144">
        <v>45778</v>
      </c>
    </row>
    <row r="83" spans="1:40" x14ac:dyDescent="0.35">
      <c r="A83" s="164" t="s">
        <v>1899</v>
      </c>
      <c r="B83" t="s">
        <v>394</v>
      </c>
      <c r="C83">
        <v>5140</v>
      </c>
      <c r="D83">
        <v>5146</v>
      </c>
      <c r="E83">
        <v>5148</v>
      </c>
      <c r="F83">
        <v>5139</v>
      </c>
      <c r="G83">
        <v>5162</v>
      </c>
      <c r="H83">
        <v>5136</v>
      </c>
      <c r="I83">
        <v>5199</v>
      </c>
      <c r="J83">
        <v>5219</v>
      </c>
      <c r="K83">
        <v>5235</v>
      </c>
      <c r="L83" s="126">
        <v>5251</v>
      </c>
      <c r="M83" s="127">
        <v>5272</v>
      </c>
      <c r="N83" s="88">
        <v>5294</v>
      </c>
      <c r="O83" s="126">
        <v>5303</v>
      </c>
      <c r="P83" s="127">
        <v>5324</v>
      </c>
      <c r="Q83" s="88">
        <v>5337</v>
      </c>
      <c r="R83" s="126">
        <v>5359</v>
      </c>
      <c r="S83" s="127">
        <v>5366</v>
      </c>
      <c r="T83" s="88">
        <v>5378</v>
      </c>
      <c r="U83" s="126">
        <v>5390</v>
      </c>
      <c r="V83" s="127">
        <v>5404</v>
      </c>
      <c r="W83" s="88">
        <v>5414</v>
      </c>
      <c r="X83" s="126">
        <v>5418</v>
      </c>
      <c r="Y83" s="127">
        <v>5420</v>
      </c>
      <c r="Z83" s="1213">
        <v>5429</v>
      </c>
      <c r="AA83" s="1214">
        <v>5444</v>
      </c>
      <c r="AB83" s="1208">
        <v>5453</v>
      </c>
      <c r="AC83" s="1213">
        <v>5468</v>
      </c>
      <c r="AD83" s="1214">
        <v>5484</v>
      </c>
      <c r="AE83" s="1208">
        <v>5493</v>
      </c>
      <c r="AF83" s="1213">
        <v>5512</v>
      </c>
      <c r="AG83" s="1214">
        <v>5524</v>
      </c>
      <c r="AH83" s="1208">
        <v>5514</v>
      </c>
      <c r="AI83" s="1213">
        <v>5515</v>
      </c>
      <c r="AJ83" s="1214">
        <v>5518</v>
      </c>
      <c r="AK83" s="1208">
        <v>5518</v>
      </c>
    </row>
    <row r="84" spans="1:40" x14ac:dyDescent="0.35">
      <c r="A84" t="s">
        <v>396</v>
      </c>
      <c r="B84" t="s">
        <v>395</v>
      </c>
      <c r="C84">
        <v>14280</v>
      </c>
      <c r="D84">
        <v>14264</v>
      </c>
      <c r="E84">
        <v>14269</v>
      </c>
      <c r="F84">
        <v>14301</v>
      </c>
      <c r="G84">
        <v>14337</v>
      </c>
      <c r="H84">
        <v>14364</v>
      </c>
      <c r="I84">
        <v>14411</v>
      </c>
      <c r="J84">
        <v>14439</v>
      </c>
      <c r="K84">
        <v>14453</v>
      </c>
      <c r="L84" s="126">
        <v>14478</v>
      </c>
      <c r="M84" s="127">
        <v>14509</v>
      </c>
      <c r="N84" s="88">
        <v>14565</v>
      </c>
      <c r="O84" s="126">
        <v>14589</v>
      </c>
      <c r="P84" s="127">
        <v>14603</v>
      </c>
      <c r="Q84" s="88">
        <v>14653</v>
      </c>
      <c r="R84" s="126">
        <v>14693</v>
      </c>
      <c r="S84" s="127">
        <v>14728</v>
      </c>
      <c r="T84" s="88">
        <v>14763</v>
      </c>
      <c r="U84" s="126">
        <v>14786</v>
      </c>
      <c r="V84" s="127">
        <v>14835</v>
      </c>
      <c r="W84" s="88">
        <v>14890</v>
      </c>
      <c r="X84" s="126">
        <v>14877</v>
      </c>
      <c r="Y84" s="127">
        <v>14905</v>
      </c>
      <c r="Z84" s="1213">
        <v>14915</v>
      </c>
      <c r="AA84" s="1214">
        <v>14946</v>
      </c>
      <c r="AB84" s="1208">
        <v>14973</v>
      </c>
      <c r="AC84" s="1213">
        <v>14986</v>
      </c>
      <c r="AD84" s="1214">
        <v>15012</v>
      </c>
      <c r="AE84" s="1208">
        <v>15022</v>
      </c>
      <c r="AF84" s="1213">
        <v>15036</v>
      </c>
      <c r="AG84" s="1214">
        <v>15053</v>
      </c>
      <c r="AH84" s="1208">
        <v>15071</v>
      </c>
      <c r="AI84" s="1213">
        <v>15087</v>
      </c>
      <c r="AJ84" s="1214">
        <v>15098</v>
      </c>
      <c r="AK84" s="1208">
        <v>15119</v>
      </c>
    </row>
    <row r="85" spans="1:40" x14ac:dyDescent="0.35">
      <c r="B85" t="s">
        <v>1891</v>
      </c>
      <c r="C85">
        <f>'Federal and State Purchases'!V43</f>
        <v>19420</v>
      </c>
      <c r="D85">
        <f>'Federal and State Purchases'!W43</f>
        <v>19410</v>
      </c>
      <c r="E85">
        <f>'Federal and State Purchases'!X43</f>
        <v>19417</v>
      </c>
      <c r="F85">
        <f>'Federal and State Purchases'!Y43</f>
        <v>19440</v>
      </c>
      <c r="G85">
        <f>'Federal and State Purchases'!Z43</f>
        <v>19499</v>
      </c>
      <c r="H85">
        <f>'Federal and State Purchases'!AA43</f>
        <v>19500</v>
      </c>
      <c r="I85">
        <f>'Federal and State Purchases'!AB43</f>
        <v>19610</v>
      </c>
      <c r="J85">
        <f>'Federal and State Purchases'!AC43</f>
        <v>19658</v>
      </c>
      <c r="K85">
        <f>'Federal and State Purchases'!AD43</f>
        <v>19688</v>
      </c>
      <c r="L85" s="126">
        <f>'Federal and State Purchases'!AE43</f>
        <v>19729</v>
      </c>
      <c r="M85" s="127">
        <f>'Federal and State Purchases'!AF43</f>
        <v>19781</v>
      </c>
      <c r="N85" s="88">
        <f>'Federal and State Purchases'!AG43</f>
        <v>19859</v>
      </c>
      <c r="O85" s="126">
        <f>'Federal and State Purchases'!AH43</f>
        <v>19892</v>
      </c>
      <c r="P85" s="127">
        <f>'Federal and State Purchases'!AI43</f>
        <v>19927</v>
      </c>
      <c r="Q85" s="88">
        <f>'Federal and State Purchases'!AJ43</f>
        <v>19990</v>
      </c>
      <c r="R85" s="126">
        <f>'Federal and State Purchases'!AK43</f>
        <v>20052</v>
      </c>
      <c r="S85" s="127">
        <f>'Federal and State Purchases'!AL43</f>
        <v>20094</v>
      </c>
      <c r="T85" s="88">
        <f>'Federal and State Purchases'!AM43</f>
        <v>20141</v>
      </c>
      <c r="U85" s="126">
        <f>'Federal and State Purchases'!AN43</f>
        <v>20176</v>
      </c>
      <c r="V85" s="127">
        <f>'Federal and State Purchases'!AO43</f>
        <v>20239</v>
      </c>
      <c r="W85" s="88">
        <f>'Federal and State Purchases'!AP43</f>
        <v>20304</v>
      </c>
      <c r="X85" s="126">
        <f>'Federal and State Purchases'!AQ43</f>
        <v>20295</v>
      </c>
      <c r="Y85" s="127">
        <f>'Federal and State Purchases'!AR43</f>
        <v>20325</v>
      </c>
      <c r="Z85" s="88">
        <f>Z83+Z84</f>
        <v>20344</v>
      </c>
      <c r="AA85" s="126">
        <f t="shared" ref="AA85:AK85" si="0">AA83+AA84</f>
        <v>20390</v>
      </c>
      <c r="AB85" s="127">
        <f t="shared" si="0"/>
        <v>20426</v>
      </c>
      <c r="AC85" s="88">
        <f t="shared" si="0"/>
        <v>20454</v>
      </c>
      <c r="AD85" s="126">
        <f t="shared" si="0"/>
        <v>20496</v>
      </c>
      <c r="AE85" s="127">
        <f t="shared" si="0"/>
        <v>20515</v>
      </c>
      <c r="AF85" s="88">
        <f t="shared" si="0"/>
        <v>20548</v>
      </c>
      <c r="AG85" s="126">
        <f t="shared" si="0"/>
        <v>20577</v>
      </c>
      <c r="AH85" s="127">
        <f t="shared" si="0"/>
        <v>20585</v>
      </c>
      <c r="AI85" s="88">
        <f t="shared" si="0"/>
        <v>20602</v>
      </c>
      <c r="AJ85" s="126">
        <f t="shared" si="0"/>
        <v>20616</v>
      </c>
      <c r="AK85" s="127">
        <f t="shared" si="0"/>
        <v>20637</v>
      </c>
    </row>
    <row r="86" spans="1:40" x14ac:dyDescent="0.35">
      <c r="A86" t="s">
        <v>398</v>
      </c>
      <c r="B86" t="s">
        <v>397</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456588</v>
      </c>
      <c r="AB86">
        <v>458308</v>
      </c>
      <c r="AC86">
        <v>466887</v>
      </c>
      <c r="AD86">
        <v>468844</v>
      </c>
      <c r="AE86">
        <v>469357</v>
      </c>
      <c r="AF86">
        <v>469232</v>
      </c>
      <c r="AG86">
        <v>468748</v>
      </c>
    </row>
    <row r="87" spans="1:40" x14ac:dyDescent="0.3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40" x14ac:dyDescent="0.35">
      <c r="A88" s="178"/>
      <c r="AM88">
        <f>AVERAGE(AG89:AI89)</f>
        <v>125.60066666666667</v>
      </c>
    </row>
    <row r="89" spans="1:40" ht="16.5" customHeight="1" x14ac:dyDescent="0.35">
      <c r="A89" s="178"/>
      <c r="B89" t="s">
        <v>1928</v>
      </c>
      <c r="I89">
        <v>119.00700000000001</v>
      </c>
      <c r="J89">
        <v>119.401</v>
      </c>
      <c r="K89">
        <v>119.553</v>
      </c>
      <c r="L89">
        <v>119.97</v>
      </c>
      <c r="M89">
        <v>120.14</v>
      </c>
      <c r="N89">
        <v>120.435</v>
      </c>
      <c r="O89">
        <v>120.598</v>
      </c>
      <c r="P89">
        <v>120.965</v>
      </c>
      <c r="Q89">
        <v>121.387</v>
      </c>
      <c r="R89">
        <v>121.42100000000001</v>
      </c>
      <c r="S89">
        <v>121.41500000000001</v>
      </c>
      <c r="T89">
        <v>121.602</v>
      </c>
      <c r="U89" s="91">
        <v>122.11499999999999</v>
      </c>
      <c r="V89" s="91">
        <v>122.494</v>
      </c>
      <c r="W89" s="91">
        <v>122.91200000000001</v>
      </c>
      <c r="X89" s="91">
        <v>123.23399999999999</v>
      </c>
      <c r="Y89" s="91">
        <v>123.224</v>
      </c>
      <c r="Z89" s="91">
        <v>123.369</v>
      </c>
      <c r="AA89" s="91">
        <v>123.575</v>
      </c>
      <c r="AB89" s="91">
        <v>123.727</v>
      </c>
      <c r="AC89" s="91">
        <v>123.93899999999999</v>
      </c>
      <c r="AD89" s="91">
        <v>124.265</v>
      </c>
      <c r="AE89" s="91">
        <v>124.399</v>
      </c>
      <c r="AF89" s="91">
        <v>124.76900000000001</v>
      </c>
      <c r="AG89" s="91">
        <v>125.239</v>
      </c>
      <c r="AH89" s="91">
        <v>125.77200000000001</v>
      </c>
      <c r="AI89" s="91">
        <v>125.791</v>
      </c>
      <c r="AJ89" s="91">
        <v>125.93899999999999</v>
      </c>
      <c r="AK89" s="91">
        <v>126.11</v>
      </c>
      <c r="AL89">
        <f>AK89*1.022^(1/12)</f>
        <v>126.33890263393204</v>
      </c>
      <c r="AM89">
        <f>AVERAGE(AJ89:AL89)</f>
        <v>126.12930087797734</v>
      </c>
      <c r="AN89">
        <f>(AM89/AM88)^4</f>
        <v>1.0169419800674282</v>
      </c>
    </row>
    <row r="90" spans="1:40" ht="72.650000000000006" customHeight="1" x14ac:dyDescent="0.35">
      <c r="A90" s="178"/>
      <c r="B90" s="105" t="s">
        <v>1927</v>
      </c>
      <c r="AB90" s="113">
        <f>(AB89/Y89)^4-1</f>
        <v>1.6428236597993751E-2</v>
      </c>
      <c r="AC90" s="113">
        <f t="shared" ref="AC90" si="1">(AC89/Z89)^4-1</f>
        <v>1.8609619141146228E-2</v>
      </c>
      <c r="AD90" s="113">
        <f t="shared" ref="AD90:AI90" si="2">(AD89/AA89)^4-1</f>
        <v>2.2522375037620002E-2</v>
      </c>
      <c r="AE90" s="113">
        <f t="shared" si="2"/>
        <v>2.1902886624113549E-2</v>
      </c>
      <c r="AF90" s="113">
        <f t="shared" si="2"/>
        <v>2.7057660791266036E-2</v>
      </c>
      <c r="AG90" s="113">
        <f t="shared" si="2"/>
        <v>3.1722895491297809E-2</v>
      </c>
      <c r="AH90" s="113">
        <f t="shared" si="2"/>
        <v>4.4884558682197762E-2</v>
      </c>
      <c r="AI90" s="113">
        <f t="shared" si="2"/>
        <v>3.3169320090469689E-2</v>
      </c>
      <c r="AJ90" s="113">
        <f>(AJ89/AG89)^4-1</f>
        <v>2.2545394892888426E-2</v>
      </c>
      <c r="AK90" s="113">
        <f>(AK89/AH89)^4-1</f>
        <v>1.0793020889860339E-2</v>
      </c>
      <c r="AL90" s="1212">
        <f>Deflators!AD12</f>
        <v>1.6983635680919155E-2</v>
      </c>
      <c r="AM90" s="113"/>
    </row>
    <row r="91" spans="1:40" x14ac:dyDescent="0.35">
      <c r="AB91" s="113">
        <f t="shared" ref="AB91:AI91" si="3">AB90-AA90</f>
        <v>1.6428236597993751E-2</v>
      </c>
      <c r="AC91" s="113">
        <f t="shared" si="3"/>
        <v>2.1813825431524769E-3</v>
      </c>
      <c r="AD91" s="113">
        <f t="shared" si="3"/>
        <v>3.9127558964737741E-3</v>
      </c>
      <c r="AE91" s="113">
        <f t="shared" si="3"/>
        <v>-6.1948841350645267E-4</v>
      </c>
      <c r="AF91" s="113">
        <f t="shared" si="3"/>
        <v>5.1547741671524872E-3</v>
      </c>
      <c r="AG91" s="113">
        <f t="shared" si="3"/>
        <v>4.6652347000317729E-3</v>
      </c>
      <c r="AH91" s="113">
        <f t="shared" si="3"/>
        <v>1.3161663190899953E-2</v>
      </c>
      <c r="AI91" s="113">
        <f t="shared" si="3"/>
        <v>-1.1715238591728072E-2</v>
      </c>
      <c r="AJ91" s="113">
        <f>AJ90-AI90</f>
        <v>-1.0623925197581263E-2</v>
      </c>
      <c r="AK91" s="113">
        <f>AK90-AJ90</f>
        <v>-1.1752374003028088E-2</v>
      </c>
      <c r="AL91" s="113"/>
    </row>
    <row r="92" spans="1:40" x14ac:dyDescent="0.35">
      <c r="AB92">
        <f t="shared" ref="AB92:AI92" si="4">(AB89/AA89)^12-1</f>
        <v>1.4860532605712073E-2</v>
      </c>
      <c r="AC92">
        <f t="shared" si="4"/>
        <v>2.0756278333904365E-2</v>
      </c>
      <c r="AD92">
        <f t="shared" si="4"/>
        <v>3.2024570562052768E-2</v>
      </c>
      <c r="AE92">
        <f t="shared" si="4"/>
        <v>1.3017110271217547E-2</v>
      </c>
      <c r="AF92">
        <f t="shared" si="4"/>
        <v>3.628129937393143E-2</v>
      </c>
      <c r="AG92">
        <f t="shared" si="4"/>
        <v>4.6151935960390578E-2</v>
      </c>
      <c r="AH92">
        <f t="shared" si="4"/>
        <v>5.2282891703768319E-2</v>
      </c>
      <c r="AI92">
        <f t="shared" si="4"/>
        <v>1.8143110824007103E-3</v>
      </c>
      <c r="AJ92">
        <f>(AJ89/AI89)^12-1</f>
        <v>1.4210378951157843E-2</v>
      </c>
      <c r="AK92">
        <f>(AK89/AJ89)^12-1</f>
        <v>1.641583387591794E-2</v>
      </c>
    </row>
    <row r="93" spans="1:40" x14ac:dyDescent="0.35">
      <c r="W93" s="106"/>
      <c r="X93" s="106"/>
      <c r="Y93" s="106"/>
      <c r="Z93" s="106"/>
      <c r="AA93" s="106"/>
      <c r="AB93" s="106"/>
      <c r="AC93" s="106"/>
      <c r="AD93" s="106"/>
      <c r="AE93" s="106"/>
      <c r="AF93" s="106"/>
      <c r="AG93" s="106"/>
      <c r="AH93" s="106"/>
      <c r="AI93" s="106"/>
      <c r="AJ93" s="106"/>
      <c r="AK93" s="106"/>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r:id="rId10"/>
  <drawing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K23" sqref="K23"/>
    </sheetView>
  </sheetViews>
  <sheetFormatPr defaultColWidth="10.90625" defaultRowHeight="14.5" x14ac:dyDescent="0.35"/>
  <cols>
    <col min="1" max="1" width="41.1796875" customWidth="1"/>
    <col min="2" max="2" width="23.453125" customWidth="1"/>
  </cols>
  <sheetData>
    <row r="1" spans="1:11" x14ac:dyDescent="0.35">
      <c r="A1" s="69" t="s">
        <v>178</v>
      </c>
      <c r="B1" s="69" t="s">
        <v>179</v>
      </c>
      <c r="C1" s="78" t="s">
        <v>177</v>
      </c>
      <c r="D1" s="78" t="s">
        <v>763</v>
      </c>
      <c r="E1" s="78" t="s">
        <v>764</v>
      </c>
      <c r="F1" s="78" t="s">
        <v>765</v>
      </c>
      <c r="G1" s="78" t="s">
        <v>1151</v>
      </c>
      <c r="H1" s="78" t="s">
        <v>1152</v>
      </c>
      <c r="I1" s="78" t="s">
        <v>1153</v>
      </c>
      <c r="J1" s="78" t="s">
        <v>1154</v>
      </c>
      <c r="K1" s="78" t="s">
        <v>1155</v>
      </c>
    </row>
    <row r="2" spans="1:11" x14ac:dyDescent="0.35">
      <c r="A2" t="s">
        <v>192</v>
      </c>
      <c r="B2" t="s">
        <v>193</v>
      </c>
      <c r="C2" s="80">
        <f>Grants!AC73</f>
        <v>424.55499699999996</v>
      </c>
      <c r="D2" s="80">
        <f>Grants!AD73</f>
        <v>420.04109870414106</v>
      </c>
      <c r="E2" s="80">
        <f>Grants!AE73</f>
        <v>422.7303328673143</v>
      </c>
      <c r="F2" s="80">
        <f>Grants!AF73</f>
        <v>421.56036623063881</v>
      </c>
      <c r="G2" s="80">
        <f>Grants!AG73</f>
        <v>424.42899879999999</v>
      </c>
      <c r="H2" s="80">
        <f>Grants!AH73</f>
        <v>424.52289717230673</v>
      </c>
      <c r="I2" s="80">
        <f>Grants!AI73</f>
        <v>428.44833986200683</v>
      </c>
      <c r="J2" s="80">
        <f>Grants!AJ73</f>
        <v>430.40260812786426</v>
      </c>
      <c r="K2" s="80">
        <f>Grants!AK73</f>
        <v>433.38598599999989</v>
      </c>
    </row>
    <row r="3" spans="1:11" x14ac:dyDescent="0.35">
      <c r="A3" t="s">
        <v>134</v>
      </c>
      <c r="B3" t="s">
        <v>194</v>
      </c>
      <c r="C3" s="80">
        <f>Grants!AC94</f>
        <v>79.275000000000006</v>
      </c>
      <c r="D3" s="80">
        <f>Grants!AD94</f>
        <v>75.203000000000003</v>
      </c>
      <c r="E3" s="80">
        <f>Grants!AE94</f>
        <v>75.203000000000003</v>
      </c>
      <c r="F3" s="80">
        <f>Grants!AF94</f>
        <v>75.203000000000003</v>
      </c>
      <c r="G3" s="80">
        <f>Grants!AG94</f>
        <v>75.203000000000003</v>
      </c>
      <c r="H3" s="80">
        <f>Grants!AH94</f>
        <v>75.203000000000003</v>
      </c>
      <c r="I3" s="80">
        <f>Grants!AI94</f>
        <v>75.203000000000003</v>
      </c>
      <c r="J3" s="80">
        <f>Grants!AJ94</f>
        <v>75.203000000000003</v>
      </c>
      <c r="K3" s="80">
        <f>Grants!AK94</f>
        <v>75.203000000000003</v>
      </c>
    </row>
    <row r="4" spans="1:11" x14ac:dyDescent="0.35">
      <c r="A4" t="s">
        <v>195</v>
      </c>
      <c r="B4" t="s">
        <v>196</v>
      </c>
      <c r="C4" s="80">
        <f>'Federal and State Purchases'!AC14</f>
        <v>1928.4</v>
      </c>
      <c r="D4" s="80">
        <f>'Federal and State Purchases'!AD14</f>
        <v>1930.497842632933</v>
      </c>
      <c r="E4" s="80">
        <f>'Federal and State Purchases'!AE14</f>
        <v>1936.1487693585325</v>
      </c>
      <c r="F4" s="80">
        <f>'Federal and State Purchases'!AF14</f>
        <v>1964.807040609787</v>
      </c>
      <c r="G4" s="80">
        <f>'Federal and State Purchases'!AG14</f>
        <v>2000.1253326447838</v>
      </c>
      <c r="H4" s="80">
        <f>'Federal and State Purchases'!AH14</f>
        <v>2015.6653811401827</v>
      </c>
      <c r="I4" s="80">
        <f>'Federal and State Purchases'!AI14</f>
        <v>2033.0217989402386</v>
      </c>
      <c r="J4" s="80">
        <f>'Federal and State Purchases'!AJ14</f>
        <v>2043.3145583332951</v>
      </c>
      <c r="K4" s="80">
        <f>'Federal and State Purchases'!AK14</f>
        <v>2053.0018612914655</v>
      </c>
    </row>
    <row r="5" spans="1:11" x14ac:dyDescent="0.35">
      <c r="A5" t="s">
        <v>197</v>
      </c>
      <c r="B5" t="s">
        <v>198</v>
      </c>
      <c r="C5" s="80">
        <f>'Federal and State Purchases'!AC35</f>
        <v>3221.5</v>
      </c>
      <c r="D5" s="80">
        <f>'Federal and State Purchases'!AD35</f>
        <v>3247.8961419107918</v>
      </c>
      <c r="E5" s="80">
        <f>'Federal and State Purchases'!AE35</f>
        <v>3277.5785161257559</v>
      </c>
      <c r="F5" s="80">
        <f>'Federal and State Purchases'!AF35</f>
        <v>3308.3690390594757</v>
      </c>
      <c r="G5" s="80">
        <f>'Federal and State Purchases'!AG35</f>
        <v>3340.0357382897141</v>
      </c>
      <c r="H5" s="80">
        <f>'Federal and State Purchases'!AH35</f>
        <v>3369.560318097866</v>
      </c>
      <c r="I5" s="80">
        <f>'Federal and State Purchases'!AI35</f>
        <v>3399.6412033311449</v>
      </c>
      <c r="J5" s="80">
        <f>'Federal and State Purchases'!AJ35</f>
        <v>3428.9971379847207</v>
      </c>
      <c r="K5" s="80">
        <f>'Federal and State Purchases'!AK35</f>
        <v>3457.7123149527179</v>
      </c>
    </row>
    <row r="6" spans="1:11" x14ac:dyDescent="0.35">
      <c r="A6" t="s">
        <v>199</v>
      </c>
      <c r="B6" t="s">
        <v>200</v>
      </c>
      <c r="C6" s="80">
        <f>Subsidies!AC46</f>
        <v>105.00099999999999</v>
      </c>
      <c r="D6" s="80">
        <f>Subsidies!AD46</f>
        <v>96.978999999999999</v>
      </c>
      <c r="E6" s="80">
        <f>Subsidies!AE46</f>
        <v>96.978999999999999</v>
      </c>
      <c r="F6" s="80">
        <f>Subsidies!AF46</f>
        <v>101.318</v>
      </c>
      <c r="G6" s="80">
        <f>Subsidies!AG46</f>
        <v>99.167999999999992</v>
      </c>
      <c r="H6" s="80">
        <f>Subsidies!AH46</f>
        <v>99.167999999999992</v>
      </c>
      <c r="I6" s="80">
        <f>Subsidies!AI46</f>
        <v>99.167999999999992</v>
      </c>
      <c r="J6" s="80">
        <f>Subsidies!AJ46</f>
        <v>99.167999999999992</v>
      </c>
      <c r="K6" s="80">
        <f>Subsidies!AK46</f>
        <v>99.167999999999992</v>
      </c>
    </row>
    <row r="7" spans="1:11" x14ac:dyDescent="0.35">
      <c r="A7" t="s">
        <v>201</v>
      </c>
      <c r="B7" t="s">
        <v>202</v>
      </c>
      <c r="C7" s="80">
        <f>Subsidies!AC45</f>
        <v>-0.90100000000000025</v>
      </c>
      <c r="D7" s="80">
        <f>Subsidies!AD45</f>
        <v>-0.90100000000000025</v>
      </c>
      <c r="E7" s="80">
        <f>Subsidies!AE45</f>
        <v>-0.90100000000000025</v>
      </c>
      <c r="F7" s="80">
        <f>Subsidies!AF45</f>
        <v>-2.1500000000000004</v>
      </c>
      <c r="G7" s="80">
        <f>Subsidies!AG45</f>
        <v>0</v>
      </c>
      <c r="H7" s="80">
        <f>Subsidies!AH45</f>
        <v>0</v>
      </c>
      <c r="I7" s="80">
        <f>Subsidies!AI45</f>
        <v>0</v>
      </c>
      <c r="J7" s="80">
        <f>Subsidies!AJ45</f>
        <v>0</v>
      </c>
      <c r="K7" s="80">
        <f>Subsidies!AK45</f>
        <v>0</v>
      </c>
    </row>
    <row r="8" spans="1:11" x14ac:dyDescent="0.35">
      <c r="A8" t="s">
        <v>203</v>
      </c>
      <c r="B8" t="s">
        <v>204</v>
      </c>
      <c r="C8" s="80">
        <f>'Unemployment Insurance'!AC20</f>
        <v>9.9999999999994316E-2</v>
      </c>
      <c r="D8" s="80">
        <f>'Unemployment Insurance'!AD20</f>
        <v>0</v>
      </c>
      <c r="E8" s="80">
        <f>'Unemployment Insurance'!AE20</f>
        <v>0</v>
      </c>
      <c r="F8" s="80">
        <f>'Unemployment Insurance'!AF20</f>
        <v>0</v>
      </c>
      <c r="G8" s="80">
        <f>'Unemployment Insurance'!AG20</f>
        <v>0</v>
      </c>
      <c r="H8" s="80">
        <f>'Unemployment Insurance'!AH20</f>
        <v>0</v>
      </c>
      <c r="I8" s="80">
        <f>'Unemployment Insurance'!AI20</f>
        <v>0</v>
      </c>
      <c r="J8" s="80">
        <f>'Unemployment Insurance'!AJ20</f>
        <v>0</v>
      </c>
      <c r="K8" s="80">
        <f>'Unemployment Insurance'!AK20</f>
        <v>0</v>
      </c>
    </row>
    <row r="9" spans="1:11" x14ac:dyDescent="0.35">
      <c r="A9" t="s">
        <v>205</v>
      </c>
      <c r="B9" t="s">
        <v>206</v>
      </c>
      <c r="C9" s="80">
        <f>'Unemployment Insurance'!AC21</f>
        <v>35.700000000000003</v>
      </c>
      <c r="D9" s="80">
        <f>'Unemployment Insurance'!AD21</f>
        <v>35.700000000000003</v>
      </c>
      <c r="E9" s="80">
        <f>'Unemployment Insurance'!AE21</f>
        <v>35.700000000000003</v>
      </c>
      <c r="F9" s="80">
        <f>'Unemployment Insurance'!AF21</f>
        <v>35.700000000000003</v>
      </c>
      <c r="G9" s="80">
        <f>'Unemployment Insurance'!AG21</f>
        <v>35.700000000000003</v>
      </c>
      <c r="H9" s="80">
        <f>'Unemployment Insurance'!AH21</f>
        <v>35.700000000000003</v>
      </c>
      <c r="I9" s="80">
        <f>'Unemployment Insurance'!AI21</f>
        <v>35.700000000000003</v>
      </c>
      <c r="J9" s="80">
        <f>'Unemployment Insurance'!AJ21</f>
        <v>35.700000000000003</v>
      </c>
      <c r="K9" s="80">
        <f>'Unemployment Insurance'!AK21</f>
        <v>36.700000000000003</v>
      </c>
    </row>
    <row r="10" spans="1:11" x14ac:dyDescent="0.35">
      <c r="A10" s="56" t="s">
        <v>207</v>
      </c>
      <c r="B10" s="56" t="s">
        <v>208</v>
      </c>
      <c r="C10" s="80">
        <f>Medicaid!AC32</f>
        <v>647.03</v>
      </c>
      <c r="D10" s="80">
        <f>Medicaid!AD32</f>
        <v>662.85171975523019</v>
      </c>
      <c r="E10" s="80">
        <f>Medicaid!AE32</f>
        <v>675.38514519906857</v>
      </c>
      <c r="F10" s="80">
        <f>Medicaid!AF32</f>
        <v>685.00561720826681</v>
      </c>
      <c r="G10" s="80">
        <f>Medicaid!AG32</f>
        <v>693.18074004264645</v>
      </c>
      <c r="H10" s="80">
        <f>Medicaid!AH32</f>
        <v>706.01130629002489</v>
      </c>
      <c r="I10" s="80">
        <f>Medicaid!AI32</f>
        <v>716.75448248277462</v>
      </c>
      <c r="J10" s="80">
        <f>Medicaid!AJ32</f>
        <v>714.81795800385646</v>
      </c>
      <c r="K10" s="80">
        <f>Medicaid!AK32</f>
        <v>725.48341006932242</v>
      </c>
    </row>
    <row r="11" spans="1:11" x14ac:dyDescent="0.35">
      <c r="A11" s="56" t="s">
        <v>209</v>
      </c>
      <c r="B11" s="56" t="s">
        <v>210</v>
      </c>
      <c r="C11" s="80">
        <f>Medicaid!AC30</f>
        <v>957.6</v>
      </c>
      <c r="D11" s="80">
        <f>Medicaid!AD30</f>
        <v>969.02169234293717</v>
      </c>
      <c r="E11" s="80">
        <f>Medicaid!AE30</f>
        <v>985.63925302097391</v>
      </c>
      <c r="F11" s="80">
        <f>Medicaid!AF30</f>
        <v>1000.5924493152195</v>
      </c>
      <c r="G11" s="80">
        <f>Medicaid!AG30</f>
        <v>1015.8181842069388</v>
      </c>
      <c r="H11" s="80">
        <f>Medicaid!AH30</f>
        <v>1031.2756048395925</v>
      </c>
      <c r="I11" s="80">
        <f>Medicaid!AI30</f>
        <v>1046.9682367101718</v>
      </c>
      <c r="J11" s="80">
        <f>Medicaid!AJ30</f>
        <v>1044.1395419917014</v>
      </c>
      <c r="K11" s="80">
        <f>Medicaid!AK30</f>
        <v>1059.7186416912505</v>
      </c>
    </row>
    <row r="12" spans="1:11" x14ac:dyDescent="0.35">
      <c r="A12" t="s">
        <v>55</v>
      </c>
      <c r="B12" t="s">
        <v>211</v>
      </c>
      <c r="C12" s="80">
        <f>Medicare!AC10</f>
        <v>1150.3</v>
      </c>
      <c r="D12" s="80">
        <f>Medicare!AD10</f>
        <v>1179.9491604763948</v>
      </c>
      <c r="E12" s="80">
        <f>Medicare!AE10</f>
        <v>1194.9759053306122</v>
      </c>
      <c r="F12" s="80">
        <f>Medicare!AF10</f>
        <v>1212.8587157717825</v>
      </c>
      <c r="G12" s="80">
        <f>Medicare!AG10</f>
        <v>1231.0091424116126</v>
      </c>
      <c r="H12" s="80">
        <f>Medicare!AH10</f>
        <v>1249.431190125624</v>
      </c>
      <c r="I12" s="80">
        <f>Medicare!AI10</f>
        <v>1268.1289237222863</v>
      </c>
      <c r="J12" s="80">
        <f>Medicare!AJ10</f>
        <v>1287.2701699300753</v>
      </c>
      <c r="K12" s="80">
        <f>Medicare!AK10</f>
        <v>1306.7003357418046</v>
      </c>
    </row>
    <row r="13" spans="1:11" x14ac:dyDescent="0.35">
      <c r="A13" t="s">
        <v>212</v>
      </c>
      <c r="B13" t="s">
        <v>213</v>
      </c>
      <c r="C13" s="80">
        <f>'Rebate Checks (expired)'!AC11</f>
        <v>0</v>
      </c>
      <c r="D13" s="80">
        <f>'Rebate Checks (expired)'!AD11</f>
        <v>0</v>
      </c>
      <c r="E13" s="80">
        <f>'Rebate Checks (expired)'!AE11</f>
        <v>0</v>
      </c>
      <c r="F13" s="80">
        <f>'Rebate Checks (expired)'!AF11</f>
        <v>0</v>
      </c>
      <c r="G13" s="80">
        <f>'Rebate Checks (expired)'!AG11</f>
        <v>0</v>
      </c>
      <c r="H13" s="80">
        <f>'Rebate Checks (expired)'!AH11</f>
        <v>0</v>
      </c>
      <c r="I13" s="80">
        <f>'Rebate Checks (expired)'!AI11</f>
        <v>0</v>
      </c>
      <c r="J13" s="80">
        <f>'Rebate Checks (expired)'!AJ11</f>
        <v>0</v>
      </c>
      <c r="K13" s="80">
        <f>'Rebate Checks (expired)'!AK11</f>
        <v>0</v>
      </c>
    </row>
    <row r="14" spans="1:11" x14ac:dyDescent="0.35">
      <c r="A14" t="s">
        <v>214</v>
      </c>
      <c r="B14" t="s">
        <v>215</v>
      </c>
      <c r="C14" s="80">
        <f>'Rebate Checks (expired)'!AC10</f>
        <v>0</v>
      </c>
      <c r="D14" s="80">
        <f>'Rebate Checks (expired)'!AD10</f>
        <v>0</v>
      </c>
      <c r="E14" s="80">
        <f>'Rebate Checks (expired)'!AE10</f>
        <v>0</v>
      </c>
      <c r="F14" s="80">
        <f>'Rebate Checks (expired)'!AF10</f>
        <v>0</v>
      </c>
      <c r="G14" s="80">
        <f>'Rebate Checks (expired)'!AG10</f>
        <v>0</v>
      </c>
      <c r="H14" s="80">
        <f>'Rebate Checks (expired)'!AH10</f>
        <v>0</v>
      </c>
      <c r="I14" s="80">
        <f>'Rebate Checks (expired)'!AI10</f>
        <v>0</v>
      </c>
      <c r="J14" s="80">
        <f>'Rebate Checks (expired)'!AJ10</f>
        <v>0</v>
      </c>
      <c r="K14" s="80">
        <f>'Rebate Checks (expired)'!AK10</f>
        <v>0</v>
      </c>
    </row>
    <row r="15" spans="1:11" x14ac:dyDescent="0.35">
      <c r="A15" t="s">
        <v>216</v>
      </c>
      <c r="B15" t="s">
        <v>217</v>
      </c>
      <c r="C15" s="80">
        <f>'Social Benefits'!AC24</f>
        <v>2.3719999999999999</v>
      </c>
      <c r="D15" s="80">
        <f>'Social Benefits'!AD24</f>
        <v>2.3719999999999999</v>
      </c>
      <c r="E15" s="80">
        <f>'Social Benefits'!AE24</f>
        <v>2.3719999999999999</v>
      </c>
      <c r="F15" s="80">
        <f>'Social Benefits'!AF24</f>
        <v>0.49</v>
      </c>
      <c r="G15" s="80">
        <f>'Social Benefits'!AG24</f>
        <v>0</v>
      </c>
      <c r="H15" s="80">
        <f>'Social Benefits'!AH24</f>
        <v>0</v>
      </c>
      <c r="I15" s="80">
        <f>'Social Benefits'!AI24</f>
        <v>0</v>
      </c>
      <c r="J15" s="80">
        <f>'Social Benefits'!AJ24</f>
        <v>0</v>
      </c>
      <c r="K15" s="80">
        <f>'Social Benefits'!AK24</f>
        <v>0</v>
      </c>
    </row>
    <row r="16" spans="1:11" x14ac:dyDescent="0.35">
      <c r="A16" t="s">
        <v>795</v>
      </c>
      <c r="B16" t="s">
        <v>219</v>
      </c>
      <c r="C16" s="80">
        <f>'Social Benefits'!AC30</f>
        <v>1.63</v>
      </c>
      <c r="D16" s="80">
        <f>'Social Benefits'!AD30</f>
        <v>1.63</v>
      </c>
      <c r="E16" s="80">
        <f>'Social Benefits'!AE30</f>
        <v>1.63</v>
      </c>
      <c r="F16" s="80">
        <f>'Social Benefits'!AF30</f>
        <v>1.671</v>
      </c>
      <c r="G16" s="80">
        <f>'Social Benefits'!AG30</f>
        <v>0</v>
      </c>
      <c r="H16" s="80">
        <f>'Social Benefits'!AH30</f>
        <v>0</v>
      </c>
      <c r="I16" s="80">
        <f>'Social Benefits'!AI30</f>
        <v>0</v>
      </c>
      <c r="J16" s="80">
        <f>'Social Benefits'!AJ30</f>
        <v>0</v>
      </c>
      <c r="K16" s="80">
        <f>'Social Benefits'!AK30</f>
        <v>0</v>
      </c>
    </row>
    <row r="17" spans="1:11" x14ac:dyDescent="0.35">
      <c r="A17" t="s">
        <v>220</v>
      </c>
      <c r="B17" t="s">
        <v>221</v>
      </c>
      <c r="C17" s="80">
        <f>'Social Benefits'!AC33</f>
        <v>2262.2980000000002</v>
      </c>
      <c r="D17" s="80">
        <f>'Social Benefits'!AD33</f>
        <v>2268.998</v>
      </c>
      <c r="E17" s="80">
        <f>'Social Benefits'!AE33</f>
        <v>2275.6980000000003</v>
      </c>
      <c r="F17" s="80">
        <f>'Social Benefits'!AF33</f>
        <v>2258.1980000000003</v>
      </c>
      <c r="G17" s="80">
        <f>'Social Benefits'!AG33</f>
        <v>2303.4551905010003</v>
      </c>
      <c r="H17" s="80">
        <f>'Social Benefits'!AH33</f>
        <v>2309.427190501</v>
      </c>
      <c r="I17" s="80">
        <f>'Social Benefits'!AI33</f>
        <v>2317.1271905010003</v>
      </c>
      <c r="J17" s="80">
        <f>'Social Benefits'!AJ33</f>
        <v>2316.6721905010004</v>
      </c>
      <c r="K17" s="80">
        <f>'Social Benefits'!AK33</f>
        <v>2365.2440593835236</v>
      </c>
    </row>
    <row r="18" spans="1:11" x14ac:dyDescent="0.35">
      <c r="A18" t="s">
        <v>222</v>
      </c>
      <c r="B18" t="s">
        <v>223</v>
      </c>
      <c r="C18" s="80">
        <f>'Social Benefits'!AC38</f>
        <v>228.02904740969223</v>
      </c>
      <c r="D18" s="80">
        <f>'Social Benefits'!AD38</f>
        <v>231.36246347492295</v>
      </c>
      <c r="E18" s="80">
        <f>'Social Benefits'!AE38</f>
        <v>234.7446086945757</v>
      </c>
      <c r="F18" s="80">
        <f>'Social Benefits'!AF38</f>
        <v>238.17619541011769</v>
      </c>
      <c r="G18" s="80">
        <f>'Social Benefits'!AG38</f>
        <v>241.65794637629688</v>
      </c>
      <c r="H18" s="80">
        <f>'Social Benefits'!AH38</f>
        <v>245.19059491336728</v>
      </c>
      <c r="I18" s="80">
        <f>'Social Benefits'!AI38</f>
        <v>248.77488506153966</v>
      </c>
      <c r="J18" s="80">
        <f>'Social Benefits'!AJ38</f>
        <v>252.41157173768991</v>
      </c>
      <c r="K18" s="80">
        <f>'Social Benefits'!AK38</f>
        <v>256.10142089435828</v>
      </c>
    </row>
    <row r="19" spans="1:11" x14ac:dyDescent="0.35">
      <c r="A19" t="s">
        <v>224</v>
      </c>
      <c r="B19" t="s">
        <v>225</v>
      </c>
      <c r="C19" s="80">
        <f>Taxes!AC9</f>
        <v>4640.7</v>
      </c>
      <c r="D19" s="80">
        <f>Taxes!AD9</f>
        <v>4709.8180616202872</v>
      </c>
      <c r="E19" s="80">
        <f>Taxes!AE9</f>
        <v>4733.3914661386643</v>
      </c>
      <c r="F19" s="80">
        <f>Taxes!AF9</f>
        <v>4757.1843093197967</v>
      </c>
      <c r="G19" s="80">
        <f>Taxes!AG9</f>
        <v>4730.7466044573812</v>
      </c>
      <c r="H19" s="80">
        <f>Taxes!AH9</f>
        <v>4763.1925237450323</v>
      </c>
      <c r="I19" s="80">
        <f>Taxes!AI9</f>
        <v>4796.0143109262117</v>
      </c>
      <c r="J19" s="80">
        <f>Taxes!AJ9</f>
        <v>4829.2143547518372</v>
      </c>
      <c r="K19" s="80">
        <f>Taxes!AK9</f>
        <v>4959.971965252872</v>
      </c>
    </row>
    <row r="20" spans="1:11" x14ac:dyDescent="0.35">
      <c r="A20" t="s">
        <v>226</v>
      </c>
      <c r="B20" t="s">
        <v>227</v>
      </c>
      <c r="C20" s="80">
        <f>Taxes!AC21</f>
        <v>2550.5</v>
      </c>
      <c r="D20" s="80">
        <f>Taxes!AD21</f>
        <v>2571.0688033993706</v>
      </c>
      <c r="E20" s="80">
        <f>Taxes!AE21</f>
        <v>2598.178261360134</v>
      </c>
      <c r="F20" s="80">
        <f>Taxes!AF21</f>
        <v>2624.8819972445235</v>
      </c>
      <c r="G20" s="80">
        <f>Taxes!AG21</f>
        <v>2649.4405312925719</v>
      </c>
      <c r="H20" s="80">
        <f>Taxes!AH21</f>
        <v>2674.9894129442418</v>
      </c>
      <c r="I20" s="80">
        <f>Taxes!AI21</f>
        <v>2698.3122414077561</v>
      </c>
      <c r="J20" s="80">
        <f>Taxes!AJ21</f>
        <v>2723.5733367491875</v>
      </c>
      <c r="K20" s="80">
        <f>Taxes!AK21</f>
        <v>2750.2680865633192</v>
      </c>
    </row>
    <row r="21" spans="1:11" x14ac:dyDescent="0.35">
      <c r="A21" t="s">
        <v>228</v>
      </c>
      <c r="B21" t="s">
        <v>229</v>
      </c>
      <c r="C21" s="80">
        <f>Taxes!AC17</f>
        <v>519.79999999999995</v>
      </c>
      <c r="D21" s="80">
        <f>Taxes!AD17</f>
        <v>536.91171391464616</v>
      </c>
      <c r="E21" s="80">
        <f>Taxes!AE17</f>
        <v>154.58674209073274</v>
      </c>
      <c r="F21" s="80">
        <f>Taxes!AF17</f>
        <v>153.63157001132998</v>
      </c>
      <c r="G21" s="80">
        <f>Taxes!AG17</f>
        <v>410.98229982033581</v>
      </c>
      <c r="H21" s="80">
        <f>Taxes!AH17</f>
        <v>408.44289176626921</v>
      </c>
      <c r="I21" s="80">
        <f>Taxes!AI17</f>
        <v>405.91917439588383</v>
      </c>
      <c r="J21" s="80">
        <f>Taxes!AJ17</f>
        <v>403.41105075841432</v>
      </c>
      <c r="K21" s="80">
        <f>Taxes!AK17</f>
        <v>412.61842450214192</v>
      </c>
    </row>
    <row r="22" spans="1:11" x14ac:dyDescent="0.35">
      <c r="A22" t="s">
        <v>230</v>
      </c>
      <c r="B22" t="s">
        <v>231</v>
      </c>
      <c r="C22" s="80">
        <f>Taxes!AC27</f>
        <v>174.7</v>
      </c>
      <c r="D22" s="80">
        <f>Taxes!AD27</f>
        <v>172.29451851420589</v>
      </c>
      <c r="E22" s="80">
        <f>Taxes!AE27</f>
        <v>172.4420004657662</v>
      </c>
      <c r="F22" s="80">
        <f>Taxes!AF27</f>
        <v>172.35554552864465</v>
      </c>
      <c r="G22" s="80">
        <f>Taxes!AG27</f>
        <v>172.5640544946437</v>
      </c>
      <c r="H22" s="80">
        <f>Taxes!AH27</f>
        <v>172.90478865859339</v>
      </c>
      <c r="I22" s="80">
        <f>Taxes!AI27</f>
        <v>172.73187878435027</v>
      </c>
      <c r="J22" s="80">
        <f>Taxes!AJ27</f>
        <v>172.94038775034934</v>
      </c>
      <c r="K22" s="80">
        <f>Taxes!AK27</f>
        <v>172.60982475547277</v>
      </c>
    </row>
    <row r="23" spans="1:11" x14ac:dyDescent="0.35">
      <c r="A23" s="56" t="s">
        <v>1379</v>
      </c>
      <c r="B23" t="s">
        <v>1378</v>
      </c>
      <c r="C23" s="80">
        <f>'Student loans'!AC11</f>
        <v>-8.3545580000000008</v>
      </c>
      <c r="D23" s="80">
        <f>'Student loans'!AD11</f>
        <v>-8.3304000000000009</v>
      </c>
      <c r="E23" s="80">
        <f>'Student loans'!AE11</f>
        <v>-8.3069939999999995</v>
      </c>
      <c r="F23" s="80">
        <f>'Student loans'!AF11</f>
        <v>-8.2824600000000004</v>
      </c>
      <c r="G23" s="80">
        <f>'Student loans'!AG11</f>
        <v>-8.2824600000000004</v>
      </c>
      <c r="H23" s="80">
        <f>'Student loans'!AH11</f>
        <v>-8.2824600000000004</v>
      </c>
      <c r="I23" s="80">
        <f>'Student loans'!AI11</f>
        <v>-11</v>
      </c>
      <c r="J23" s="80">
        <f>'Student loans'!AJ11</f>
        <v>-11</v>
      </c>
      <c r="K23" s="80">
        <f>'Student loans'!AK11</f>
        <v>-11</v>
      </c>
    </row>
    <row r="24" spans="1:11" x14ac:dyDescent="0.35">
      <c r="A24" s="77" t="s">
        <v>1929</v>
      </c>
      <c r="B24" t="s">
        <v>1877</v>
      </c>
      <c r="C24" s="80">
        <f>'Supply Side IRA'!AC14</f>
        <v>73.980636292422588</v>
      </c>
      <c r="D24" s="80">
        <f>'Supply Side IRA'!AD14</f>
        <v>88.394442804062294</v>
      </c>
      <c r="E24" s="80">
        <f>'Supply Side IRA'!AE14</f>
        <v>103.08351069330931</v>
      </c>
      <c r="F24" s="80">
        <f>'Supply Side IRA'!AF14</f>
        <v>109.65876198766387</v>
      </c>
      <c r="G24" s="80">
        <f>'Supply Side IRA'!AG14</f>
        <v>134.70903635555658</v>
      </c>
      <c r="H24" s="80">
        <f>'Supply Side IRA'!AH14</f>
        <v>155.20684462483894</v>
      </c>
      <c r="I24" s="80">
        <f>'Supply Side IRA'!AI14</f>
        <v>162.82034425593883</v>
      </c>
      <c r="J24" s="80">
        <f>'Supply Side IRA'!AJ14</f>
        <v>160.44502735686868</v>
      </c>
      <c r="K24" s="80">
        <f>'Supply Side IRA'!AK14</f>
        <v>146.43535339516106</v>
      </c>
    </row>
    <row r="25" spans="1:11" x14ac:dyDescent="0.35">
      <c r="A25" s="67" t="s">
        <v>1988</v>
      </c>
      <c r="B25" t="s">
        <v>1989</v>
      </c>
      <c r="C25" s="210">
        <v>0</v>
      </c>
      <c r="D25">
        <v>-1</v>
      </c>
      <c r="E25">
        <v>-1</v>
      </c>
      <c r="F25">
        <v>-1</v>
      </c>
      <c r="G25">
        <v>-1</v>
      </c>
      <c r="H25" s="210">
        <v>0</v>
      </c>
      <c r="I25" s="210">
        <v>0</v>
      </c>
      <c r="J25" s="210">
        <v>0</v>
      </c>
      <c r="K25" s="210">
        <v>0</v>
      </c>
    </row>
    <row r="26" spans="1:11" x14ac:dyDescent="0.35">
      <c r="A26" s="67"/>
      <c r="C26" s="79"/>
    </row>
    <row r="27" spans="1:11" x14ac:dyDescent="0.35">
      <c r="A27" s="67"/>
      <c r="C27" s="79"/>
    </row>
    <row r="28" spans="1:11" x14ac:dyDescent="0.35">
      <c r="A28" s="56"/>
      <c r="C28" s="79"/>
    </row>
  </sheetData>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B10" sqref="B10"/>
    </sheetView>
  </sheetViews>
  <sheetFormatPr defaultColWidth="10.90625" defaultRowHeight="14.5" x14ac:dyDescent="0.35"/>
  <cols>
    <col min="1" max="2" width="70.81640625" customWidth="1"/>
  </cols>
  <sheetData>
    <row r="1" spans="1:45" ht="15.65" customHeight="1" x14ac:dyDescent="0.35">
      <c r="A1" s="1345" t="s">
        <v>253</v>
      </c>
      <c r="B1" s="1345"/>
      <c r="C1" s="1345"/>
      <c r="D1" s="1345"/>
      <c r="E1" s="1345"/>
      <c r="F1" s="1345"/>
      <c r="G1" s="1345"/>
      <c r="H1" s="1345"/>
      <c r="I1" s="1345"/>
      <c r="J1" s="1345"/>
      <c r="K1" s="1345"/>
      <c r="L1" s="1345"/>
      <c r="M1" s="1345"/>
      <c r="N1" s="1345"/>
      <c r="O1" s="1345"/>
    </row>
    <row r="2" spans="1:45" ht="31.4" customHeight="1" x14ac:dyDescent="0.35">
      <c r="A2" s="211"/>
      <c r="B2" s="211" t="s">
        <v>179</v>
      </c>
      <c r="C2" s="217">
        <v>1</v>
      </c>
      <c r="D2" s="217">
        <f>C2+1</f>
        <v>2</v>
      </c>
      <c r="E2" s="217">
        <f t="shared" ref="E2:N2" si="0">D2+1</f>
        <v>3</v>
      </c>
      <c r="F2" s="217">
        <f t="shared" si="0"/>
        <v>4</v>
      </c>
      <c r="G2" s="217">
        <f t="shared" si="0"/>
        <v>5</v>
      </c>
      <c r="H2" s="217">
        <f t="shared" si="0"/>
        <v>6</v>
      </c>
      <c r="I2" s="217">
        <f t="shared" si="0"/>
        <v>7</v>
      </c>
      <c r="J2" s="217">
        <f t="shared" si="0"/>
        <v>8</v>
      </c>
      <c r="K2" s="217">
        <f t="shared" si="0"/>
        <v>9</v>
      </c>
      <c r="L2" s="217">
        <f t="shared" si="0"/>
        <v>10</v>
      </c>
      <c r="M2" s="217">
        <f t="shared" si="0"/>
        <v>11</v>
      </c>
      <c r="N2" s="217">
        <f t="shared" si="0"/>
        <v>12</v>
      </c>
      <c r="O2" s="215" t="s">
        <v>254</v>
      </c>
    </row>
    <row r="3" spans="1:45" ht="15.65" customHeight="1" x14ac:dyDescent="0.35">
      <c r="A3" s="212" t="s">
        <v>255</v>
      </c>
      <c r="B3" s="212" t="s">
        <v>256</v>
      </c>
      <c r="C3" s="79">
        <v>0.22500000000000001</v>
      </c>
      <c r="D3" s="79">
        <v>0.22500000000000001</v>
      </c>
      <c r="E3" s="79">
        <v>0.22500000000000001</v>
      </c>
      <c r="F3" s="79">
        <v>0.22500000000000001</v>
      </c>
      <c r="G3" s="218">
        <v>0</v>
      </c>
      <c r="H3" s="218">
        <v>0</v>
      </c>
      <c r="I3" s="218">
        <v>0</v>
      </c>
      <c r="J3" s="218">
        <v>0</v>
      </c>
      <c r="K3" s="218">
        <v>0</v>
      </c>
      <c r="L3" s="218">
        <v>0</v>
      </c>
      <c r="M3" s="218">
        <v>0</v>
      </c>
      <c r="N3" s="218">
        <v>0</v>
      </c>
      <c r="O3" s="216">
        <f>SUM(C3:N3)</f>
        <v>0.9</v>
      </c>
      <c r="P3" s="79"/>
      <c r="Q3" s="79"/>
      <c r="R3" s="79"/>
      <c r="S3" s="79"/>
      <c r="T3" s="218"/>
      <c r="U3" s="218"/>
      <c r="V3" s="218"/>
      <c r="W3" s="218"/>
      <c r="X3" s="218"/>
      <c r="Y3" s="218"/>
      <c r="Z3" s="218"/>
      <c r="AA3" s="218"/>
      <c r="AC3" s="82"/>
      <c r="AD3" s="82"/>
      <c r="AE3" s="82"/>
      <c r="AF3" s="82"/>
      <c r="AG3" s="82"/>
      <c r="AH3" s="82"/>
      <c r="AI3" s="82"/>
      <c r="AJ3" s="82"/>
      <c r="AK3" s="82"/>
      <c r="AL3" s="82"/>
      <c r="AM3" s="82"/>
      <c r="AN3" s="82"/>
      <c r="AO3" s="82"/>
      <c r="AP3" s="82"/>
      <c r="AQ3" s="82"/>
      <c r="AR3" s="82"/>
      <c r="AS3" s="82"/>
    </row>
    <row r="4" spans="1:45" ht="15.65" customHeight="1" x14ac:dyDescent="0.35">
      <c r="A4" s="214" t="s">
        <v>257</v>
      </c>
      <c r="B4" s="214"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16">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4" t="s">
        <v>259</v>
      </c>
      <c r="B5" s="214" t="s">
        <v>260</v>
      </c>
      <c r="C5" s="79">
        <v>-0.12</v>
      </c>
      <c r="D5" s="79">
        <v>-0.12</v>
      </c>
      <c r="E5" s="79">
        <v>-0.06</v>
      </c>
      <c r="F5" s="79">
        <v>-0.06</v>
      </c>
      <c r="G5" s="79">
        <v>-0.06</v>
      </c>
      <c r="H5" s="79">
        <v>-0.06</v>
      </c>
      <c r="I5" s="79">
        <v>-0.06</v>
      </c>
      <c r="J5" s="79">
        <v>-0.06</v>
      </c>
      <c r="K5" s="79">
        <v>0</v>
      </c>
      <c r="L5" s="79">
        <v>0</v>
      </c>
      <c r="M5" s="79">
        <v>0</v>
      </c>
      <c r="N5" s="79">
        <v>0</v>
      </c>
      <c r="O5" s="216">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2" t="s">
        <v>261</v>
      </c>
      <c r="B6" s="212"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16">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2" t="s">
        <v>262</v>
      </c>
      <c r="B7" s="212"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16">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2" t="s">
        <v>264</v>
      </c>
      <c r="B8" s="212"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16">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2" t="s">
        <v>266</v>
      </c>
      <c r="B9" s="212"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16">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2" t="s">
        <v>268</v>
      </c>
      <c r="B10" s="212" t="s">
        <v>215</v>
      </c>
      <c r="C10" s="79">
        <v>0.14000000000000001</v>
      </c>
      <c r="D10" s="79">
        <v>0.1</v>
      </c>
      <c r="E10" s="79">
        <v>0.1</v>
      </c>
      <c r="F10" s="79">
        <v>0.05</v>
      </c>
      <c r="G10" s="79">
        <v>0.05</v>
      </c>
      <c r="H10" s="79">
        <v>0.05</v>
      </c>
      <c r="I10" s="79">
        <v>0.05</v>
      </c>
      <c r="J10" s="79">
        <v>0.05</v>
      </c>
      <c r="K10" s="79">
        <v>0.05</v>
      </c>
      <c r="L10" s="79">
        <v>0.03</v>
      </c>
      <c r="M10" s="79">
        <v>0.03</v>
      </c>
      <c r="N10" s="79">
        <v>0.03</v>
      </c>
      <c r="O10" s="216">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2" t="s">
        <v>269</v>
      </c>
      <c r="B11" s="212" t="s">
        <v>270</v>
      </c>
      <c r="C11" s="79">
        <v>0.2</v>
      </c>
      <c r="D11" s="79">
        <v>0.17</v>
      </c>
      <c r="E11" s="79">
        <v>0.16</v>
      </c>
      <c r="F11" s="79">
        <v>0.15</v>
      </c>
      <c r="G11" s="79">
        <v>0.09</v>
      </c>
      <c r="H11" s="79">
        <v>0.05</v>
      </c>
      <c r="I11" s="79">
        <v>0.05</v>
      </c>
      <c r="J11" s="79">
        <v>0.04</v>
      </c>
      <c r="K11" s="79">
        <v>0</v>
      </c>
      <c r="L11" s="79">
        <v>0</v>
      </c>
      <c r="M11" s="79">
        <v>0</v>
      </c>
      <c r="N11" s="79">
        <v>0</v>
      </c>
      <c r="O11" s="216">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3" t="s">
        <v>271</v>
      </c>
      <c r="B12" s="213" t="s">
        <v>272</v>
      </c>
      <c r="C12" s="79">
        <v>0.2</v>
      </c>
      <c r="D12" s="79">
        <v>0.17</v>
      </c>
      <c r="E12" s="79">
        <v>0.16</v>
      </c>
      <c r="F12" s="79">
        <v>0.15</v>
      </c>
      <c r="G12" s="79">
        <v>0.09</v>
      </c>
      <c r="H12" s="79">
        <v>0.05</v>
      </c>
      <c r="I12" s="79">
        <v>0.05</v>
      </c>
      <c r="J12" s="79">
        <v>0.04</v>
      </c>
      <c r="K12" s="79">
        <v>0</v>
      </c>
      <c r="L12" s="79">
        <v>0</v>
      </c>
      <c r="M12" s="79">
        <v>0</v>
      </c>
      <c r="N12" s="79">
        <v>0</v>
      </c>
      <c r="O12" s="216">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3" t="s">
        <v>273</v>
      </c>
      <c r="B13" s="213" t="s">
        <v>274</v>
      </c>
      <c r="C13" s="79">
        <v>0.14000000000000001</v>
      </c>
      <c r="D13" s="79">
        <v>0.1</v>
      </c>
      <c r="E13" s="79">
        <v>0.1</v>
      </c>
      <c r="F13" s="79">
        <v>0.05</v>
      </c>
      <c r="G13" s="79">
        <v>0.05</v>
      </c>
      <c r="H13" s="79">
        <v>0.05</v>
      </c>
      <c r="I13" s="79">
        <v>0.05</v>
      </c>
      <c r="J13" s="79">
        <v>0.05</v>
      </c>
      <c r="K13" s="79">
        <v>0.05</v>
      </c>
      <c r="L13" s="79">
        <v>0</v>
      </c>
      <c r="M13" s="79">
        <v>0</v>
      </c>
      <c r="N13" s="79">
        <v>0</v>
      </c>
      <c r="O13" s="216">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3" t="s">
        <v>275</v>
      </c>
      <c r="B14" s="213"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16">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3"/>
    </row>
  </sheetData>
  <mergeCells count="1">
    <mergeCell ref="A1:O1"/>
  </mergeCells>
  <pageMargins left="0.7" right="0.7" top="0.75" bottom="0.75" header="0.3" footer="0.3"/>
  <pageSetup paperSize="9" orientation="portrait" horizontalDpi="300" verticalDpi="30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85" zoomScaleNormal="85" workbookViewId="0">
      <pane xSplit="2" ySplit="6" topLeftCell="S7" activePane="bottomRight" state="frozen"/>
      <selection pane="topRight" activeCell="C1" sqref="C1"/>
      <selection pane="bottomLeft" activeCell="A7" sqref="A7"/>
      <selection pane="bottomRight" activeCell="AB15" sqref="AB15"/>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253" t="s">
        <v>53</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219"/>
      <c r="AE1" s="219"/>
      <c r="AF1" s="219"/>
      <c r="AG1" s="219"/>
      <c r="AH1" s="219"/>
    </row>
    <row r="2" spans="2:41" ht="14.25" customHeight="1" x14ac:dyDescent="0.35">
      <c r="B2" s="1346" t="s">
        <v>277</v>
      </c>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6"/>
      <c r="AA2" s="1346"/>
      <c r="AB2" s="1346"/>
      <c r="AC2" s="1346"/>
      <c r="AD2" s="220"/>
      <c r="AE2" s="220"/>
      <c r="AF2" s="220"/>
      <c r="AG2" s="220"/>
      <c r="AH2" s="220"/>
    </row>
    <row r="3" spans="2:41" x14ac:dyDescent="0.35">
      <c r="B3" s="1346"/>
      <c r="C3" s="1346"/>
      <c r="D3" s="1346"/>
      <c r="E3" s="1346"/>
      <c r="F3" s="1346"/>
      <c r="G3" s="1346"/>
      <c r="H3" s="1346"/>
      <c r="I3" s="1346"/>
      <c r="J3" s="1346"/>
      <c r="K3" s="1346"/>
      <c r="L3" s="1346"/>
      <c r="M3" s="1346"/>
      <c r="N3" s="1346"/>
      <c r="O3" s="1346"/>
      <c r="P3" s="1346"/>
      <c r="Q3" s="1346"/>
      <c r="R3" s="1346"/>
      <c r="S3" s="1346"/>
      <c r="T3" s="1346"/>
      <c r="U3" s="1346"/>
      <c r="V3" s="1346"/>
      <c r="W3" s="1346"/>
      <c r="X3" s="1346"/>
      <c r="Y3" s="1346"/>
      <c r="Z3" s="1346"/>
      <c r="AA3" s="1346"/>
      <c r="AB3" s="1346"/>
      <c r="AC3" s="1346"/>
      <c r="AD3" s="220"/>
      <c r="AE3" s="220"/>
      <c r="AF3" s="220"/>
      <c r="AG3" s="220"/>
      <c r="AH3" s="220"/>
    </row>
    <row r="4" spans="2:41" x14ac:dyDescent="0.35">
      <c r="B4" s="1346"/>
      <c r="C4" s="1346"/>
      <c r="D4" s="1346"/>
      <c r="E4" s="1346"/>
      <c r="F4" s="1346"/>
      <c r="G4" s="1346"/>
      <c r="H4" s="1346"/>
      <c r="I4" s="1346"/>
      <c r="J4" s="1346"/>
      <c r="K4" s="1346"/>
      <c r="L4" s="1346"/>
      <c r="M4" s="1346"/>
      <c r="N4" s="1346"/>
      <c r="O4" s="1346"/>
      <c r="P4" s="1346"/>
      <c r="Q4" s="1346"/>
      <c r="R4" s="1346"/>
      <c r="S4" s="1346"/>
      <c r="T4" s="1346"/>
      <c r="U4" s="1346"/>
      <c r="V4" s="1346"/>
      <c r="W4" s="1346"/>
      <c r="X4" s="1346"/>
      <c r="Y4" s="1346"/>
      <c r="Z4" s="1346"/>
      <c r="AA4" s="1346"/>
      <c r="AB4" s="1346"/>
      <c r="AC4" s="1346"/>
      <c r="AD4" s="220"/>
      <c r="AE4" s="220"/>
      <c r="AF4" s="220"/>
      <c r="AG4" s="220"/>
      <c r="AH4" s="220"/>
    </row>
    <row r="5" spans="2:41" x14ac:dyDescent="0.35">
      <c r="B5" s="1346"/>
      <c r="C5" s="1346"/>
      <c r="D5" s="1346"/>
      <c r="E5" s="1346"/>
      <c r="F5" s="1346"/>
      <c r="G5" s="1346"/>
      <c r="H5" s="1346"/>
      <c r="I5" s="1346"/>
      <c r="J5" s="1346"/>
      <c r="K5" s="1346"/>
      <c r="L5" s="1346"/>
      <c r="M5" s="1346"/>
      <c r="N5" s="1346"/>
      <c r="O5" s="1346"/>
      <c r="P5" s="1346"/>
      <c r="Q5" s="1346"/>
      <c r="R5" s="1346"/>
      <c r="S5" s="1346"/>
      <c r="T5" s="1346"/>
      <c r="U5" s="1346"/>
      <c r="V5" s="1346"/>
      <c r="W5" s="1346"/>
      <c r="X5" s="1346"/>
      <c r="Y5" s="1346"/>
      <c r="Z5" s="1346"/>
      <c r="AA5" s="1346"/>
      <c r="AB5" s="1346"/>
      <c r="AC5" s="1346"/>
      <c r="AD5" s="220"/>
      <c r="AE5" s="220"/>
      <c r="AF5" s="220"/>
      <c r="AG5" s="220"/>
      <c r="AH5" s="220"/>
    </row>
    <row r="6" spans="2:41" ht="38.9" customHeight="1" x14ac:dyDescent="0.35">
      <c r="B6" s="1346"/>
      <c r="C6" s="1346"/>
      <c r="D6" s="1346"/>
      <c r="E6" s="1346"/>
      <c r="F6" s="1346"/>
      <c r="G6" s="1346"/>
      <c r="H6" s="1346"/>
      <c r="I6" s="1346"/>
      <c r="J6" s="1346"/>
      <c r="K6" s="1346"/>
      <c r="L6" s="1346"/>
      <c r="M6" s="1346"/>
      <c r="N6" s="1346"/>
      <c r="O6" s="1346"/>
      <c r="P6" s="1346"/>
      <c r="Q6" s="1346"/>
      <c r="R6" s="1346"/>
      <c r="S6" s="1346"/>
      <c r="T6" s="1346"/>
      <c r="U6" s="1346"/>
      <c r="V6" s="1346"/>
      <c r="W6" s="1346"/>
      <c r="X6" s="1346"/>
      <c r="Y6" s="1346"/>
      <c r="Z6" s="1346"/>
      <c r="AA6" s="1346"/>
      <c r="AB6" s="1346"/>
      <c r="AC6" s="1346"/>
      <c r="AD6" s="220"/>
      <c r="AE6" s="220"/>
      <c r="AF6" s="220"/>
      <c r="AG6" s="220"/>
      <c r="AH6" s="220"/>
    </row>
    <row r="7" spans="2:41" x14ac:dyDescent="0.35">
      <c r="B7" s="265"/>
      <c r="C7" s="265"/>
      <c r="D7" s="265"/>
      <c r="E7" s="265"/>
      <c r="F7" s="265"/>
      <c r="G7" s="265"/>
      <c r="H7" s="266"/>
      <c r="I7" s="266"/>
      <c r="J7" s="266"/>
      <c r="K7" s="266"/>
      <c r="L7" s="266"/>
      <c r="M7" s="266"/>
      <c r="N7" s="266"/>
      <c r="O7" s="266"/>
      <c r="P7" s="266"/>
      <c r="Q7" s="266"/>
      <c r="R7" s="266"/>
      <c r="S7" s="266"/>
      <c r="T7" s="266"/>
      <c r="U7" s="266"/>
      <c r="V7" s="266"/>
    </row>
    <row r="8" spans="2:41" ht="14.9" customHeight="1" x14ac:dyDescent="0.35">
      <c r="B8" s="1256" t="s">
        <v>278</v>
      </c>
      <c r="C8" s="1257"/>
      <c r="D8" s="1260" t="s">
        <v>279</v>
      </c>
      <c r="E8" s="1260"/>
      <c r="F8" s="1260"/>
      <c r="G8" s="1260"/>
      <c r="H8" s="1260"/>
      <c r="I8" s="1260"/>
      <c r="J8" s="1260"/>
      <c r="K8" s="1260"/>
      <c r="L8" s="1260"/>
      <c r="M8" s="1260"/>
      <c r="N8" s="1260"/>
      <c r="O8" s="1260"/>
      <c r="P8" s="1260"/>
      <c r="Q8" s="1260"/>
      <c r="R8" s="1260"/>
      <c r="S8" s="1260"/>
      <c r="T8" s="1260"/>
      <c r="U8" s="1260"/>
      <c r="V8" s="1260"/>
      <c r="W8" s="1260"/>
      <c r="X8" s="1260"/>
      <c r="Y8" s="1260"/>
      <c r="Z8" s="1260"/>
      <c r="AA8" s="1260"/>
      <c r="AB8" s="1260"/>
      <c r="AC8" s="1262" t="s">
        <v>280</v>
      </c>
      <c r="AD8" s="1262"/>
      <c r="AE8" s="1262"/>
      <c r="AF8" s="1262"/>
      <c r="AG8" s="1262"/>
      <c r="AH8" s="1262"/>
      <c r="AI8" s="1262"/>
      <c r="AJ8" s="1262"/>
      <c r="AK8" s="1262"/>
      <c r="AL8" s="1262"/>
      <c r="AM8" s="1262"/>
      <c r="AN8" s="1263"/>
    </row>
    <row r="9" spans="2:41" ht="12.75" customHeight="1" x14ac:dyDescent="0.35">
      <c r="B9" s="1258"/>
      <c r="C9" s="1350"/>
      <c r="D9" s="221">
        <v>2018</v>
      </c>
      <c r="E9" s="1347">
        <v>2019</v>
      </c>
      <c r="F9" s="1348"/>
      <c r="G9" s="1348"/>
      <c r="H9" s="1349"/>
      <c r="I9" s="1347">
        <v>2020</v>
      </c>
      <c r="J9" s="1348"/>
      <c r="K9" s="1348"/>
      <c r="L9" s="1349"/>
      <c r="M9" s="1347">
        <v>2021</v>
      </c>
      <c r="N9" s="1348"/>
      <c r="O9" s="1348"/>
      <c r="P9" s="1349"/>
      <c r="Q9" s="1347">
        <v>2022</v>
      </c>
      <c r="R9" s="1348"/>
      <c r="S9" s="1348"/>
      <c r="T9" s="1349"/>
      <c r="U9" s="1347">
        <v>2023</v>
      </c>
      <c r="V9" s="1348"/>
      <c r="W9" s="1348"/>
      <c r="X9" s="1349"/>
      <c r="Y9" s="289"/>
      <c r="Z9" s="227">
        <v>2024</v>
      </c>
      <c r="AA9" s="227"/>
      <c r="AB9" s="226"/>
      <c r="AC9" s="1270">
        <v>2025</v>
      </c>
      <c r="AD9" s="1271"/>
      <c r="AE9" s="1271"/>
      <c r="AF9" s="1271"/>
      <c r="AG9" s="1270">
        <v>2026</v>
      </c>
      <c r="AH9" s="1271"/>
      <c r="AI9" s="1271"/>
      <c r="AJ9" s="1272"/>
      <c r="AK9" s="1270">
        <v>2027</v>
      </c>
      <c r="AL9" s="1271"/>
      <c r="AM9" s="1271"/>
      <c r="AN9" s="1272"/>
    </row>
    <row r="10" spans="2:41" ht="14.9" customHeight="1" x14ac:dyDescent="0.35">
      <c r="B10" s="1274"/>
      <c r="C10" s="1351"/>
      <c r="D10" s="221" t="s">
        <v>281</v>
      </c>
      <c r="E10" s="221" t="s">
        <v>282</v>
      </c>
      <c r="F10" s="222" t="s">
        <v>283</v>
      </c>
      <c r="G10" s="222" t="s">
        <v>238</v>
      </c>
      <c r="H10" s="228" t="s">
        <v>281</v>
      </c>
      <c r="I10" s="222" t="s">
        <v>282</v>
      </c>
      <c r="J10" s="222" t="s">
        <v>283</v>
      </c>
      <c r="K10" s="222" t="s">
        <v>238</v>
      </c>
      <c r="L10" s="222" t="s">
        <v>281</v>
      </c>
      <c r="M10" s="282" t="s">
        <v>282</v>
      </c>
      <c r="N10" s="283" t="s">
        <v>283</v>
      </c>
      <c r="O10" s="283" t="s">
        <v>238</v>
      </c>
      <c r="P10" s="281" t="s">
        <v>281</v>
      </c>
      <c r="Q10" s="282" t="s">
        <v>282</v>
      </c>
      <c r="R10" s="283" t="s">
        <v>283</v>
      </c>
      <c r="S10" s="283" t="s">
        <v>238</v>
      </c>
      <c r="T10" s="281" t="s">
        <v>281</v>
      </c>
      <c r="U10" s="282" t="s">
        <v>282</v>
      </c>
      <c r="V10" s="283" t="s">
        <v>283</v>
      </c>
      <c r="W10" s="283" t="s">
        <v>238</v>
      </c>
      <c r="X10" s="281" t="s">
        <v>281</v>
      </c>
      <c r="Y10" s="282" t="s">
        <v>282</v>
      </c>
      <c r="Z10" s="288" t="s">
        <v>283</v>
      </c>
      <c r="AA10" s="283" t="s">
        <v>238</v>
      </c>
      <c r="AB10" s="281" t="s">
        <v>281</v>
      </c>
      <c r="AC10" s="282" t="s">
        <v>282</v>
      </c>
      <c r="AD10" s="267" t="s">
        <v>283</v>
      </c>
      <c r="AE10" s="269" t="s">
        <v>238</v>
      </c>
      <c r="AF10" s="269" t="s">
        <v>281</v>
      </c>
      <c r="AG10" s="232" t="s">
        <v>282</v>
      </c>
      <c r="AH10" s="267" t="s">
        <v>283</v>
      </c>
      <c r="AI10" s="267" t="s">
        <v>238</v>
      </c>
      <c r="AJ10" s="286" t="s">
        <v>281</v>
      </c>
      <c r="AK10" s="232" t="s">
        <v>282</v>
      </c>
      <c r="AL10" s="267" t="s">
        <v>283</v>
      </c>
      <c r="AM10" s="267" t="s">
        <v>238</v>
      </c>
      <c r="AN10" s="286" t="s">
        <v>281</v>
      </c>
    </row>
    <row r="11" spans="2:41" x14ac:dyDescent="0.35">
      <c r="B11" s="254" t="s">
        <v>102</v>
      </c>
      <c r="C11" s="270" t="s">
        <v>284</v>
      </c>
      <c r="D11" s="256">
        <f>'Haver Pivoted'!GO14</f>
        <v>27.1</v>
      </c>
      <c r="E11" s="284">
        <f>'Haver Pivoted'!GP14</f>
        <v>29.6</v>
      </c>
      <c r="F11" s="284">
        <f>'Haver Pivoted'!GQ14</f>
        <v>27.3</v>
      </c>
      <c r="G11" s="284">
        <f>'Haver Pivoted'!GR14</f>
        <v>26.4</v>
      </c>
      <c r="H11" s="284">
        <f>'Haver Pivoted'!GS14</f>
        <v>26.7</v>
      </c>
      <c r="I11" s="284">
        <f>'Haver Pivoted'!GT14</f>
        <v>40.1</v>
      </c>
      <c r="J11" s="284">
        <f>'Haver Pivoted'!GU14</f>
        <v>951.5</v>
      </c>
      <c r="K11" s="284">
        <f>'Haver Pivoted'!GV14</f>
        <v>800</v>
      </c>
      <c r="L11" s="284">
        <f>'Haver Pivoted'!GW14</f>
        <v>322.7</v>
      </c>
      <c r="M11" s="284">
        <f>'Haver Pivoted'!GX14</f>
        <v>583.79999999999995</v>
      </c>
      <c r="N11" s="284">
        <f>'Haver Pivoted'!GY14</f>
        <v>440.8</v>
      </c>
      <c r="O11" s="284">
        <f>'Haver Pivoted'!GZ14</f>
        <v>212.8</v>
      </c>
      <c r="P11" s="284">
        <f>'Haver Pivoted'!HA14</f>
        <v>31.8</v>
      </c>
      <c r="Q11" s="229">
        <f>'Haver Pivoted'!HB14</f>
        <v>24.5</v>
      </c>
      <c r="R11" s="229">
        <f>'Haver Pivoted'!HC14</f>
        <v>21.7</v>
      </c>
      <c r="S11" s="222">
        <f>'Haver Pivoted'!HD14</f>
        <v>23.1</v>
      </c>
      <c r="T11" s="222">
        <f>'Haver Pivoted'!HE14</f>
        <v>25.9</v>
      </c>
      <c r="U11" s="222">
        <f>'Haver Pivoted'!HF14</f>
        <v>30.1</v>
      </c>
      <c r="V11" s="222">
        <f>'Haver Pivoted'!HG14</f>
        <v>32.700000000000003</v>
      </c>
      <c r="W11" s="222">
        <f>'Haver Pivoted'!HH14</f>
        <v>34.700000000000003</v>
      </c>
      <c r="X11" s="222">
        <f>'Haver Pivoted'!HI14</f>
        <v>35.299999999999997</v>
      </c>
      <c r="Y11" s="222">
        <f>'Haver Pivoted'!HJ14</f>
        <v>34.9</v>
      </c>
      <c r="Z11" s="222">
        <f>'Haver Pivoted'!HK14</f>
        <v>34.9</v>
      </c>
      <c r="AA11" s="222">
        <f>'Haver Pivoted'!HL14</f>
        <v>35.700000000000003</v>
      </c>
      <c r="AB11" s="222">
        <f>'Haver Pivoted'!HM14</f>
        <v>36.1</v>
      </c>
      <c r="AC11" s="222">
        <f>'Haver Pivoted'!HN14</f>
        <v>35.799999999999997</v>
      </c>
      <c r="AD11" s="275">
        <f t="shared" ref="AD11:AG11" si="0">AD13+AD14+AD21</f>
        <v>35.700000000000003</v>
      </c>
      <c r="AE11" s="275">
        <f t="shared" si="0"/>
        <v>35.700000000000003</v>
      </c>
      <c r="AF11" s="275">
        <f t="shared" si="0"/>
        <v>35.700000000000003</v>
      </c>
      <c r="AG11" s="231">
        <f t="shared" si="0"/>
        <v>35.700000000000003</v>
      </c>
      <c r="AH11" s="231">
        <f>AH13+AH14+AH21</f>
        <v>35.700000000000003</v>
      </c>
      <c r="AI11" s="231">
        <f t="shared" ref="AI11:AN11" si="1">AI13+AI14+AI21</f>
        <v>35.700000000000003</v>
      </c>
      <c r="AJ11" s="231">
        <f t="shared" si="1"/>
        <v>35.700000000000003</v>
      </c>
      <c r="AK11" s="231">
        <f t="shared" si="1"/>
        <v>36.700000000000003</v>
      </c>
      <c r="AL11" s="231">
        <f t="shared" si="1"/>
        <v>37.700000000000003</v>
      </c>
      <c r="AM11" s="231">
        <f t="shared" si="1"/>
        <v>38.700000000000003</v>
      </c>
      <c r="AN11" s="231">
        <f t="shared" si="1"/>
        <v>39.700000000000003</v>
      </c>
      <c r="AO11" s="245" t="s">
        <v>285</v>
      </c>
    </row>
    <row r="12" spans="2:41" x14ac:dyDescent="0.35">
      <c r="B12" s="287" t="s">
        <v>1952</v>
      </c>
      <c r="C12" s="230"/>
      <c r="D12" s="272"/>
      <c r="E12" s="229"/>
      <c r="F12" s="229"/>
      <c r="G12" s="229"/>
      <c r="H12" s="229"/>
      <c r="I12" s="229"/>
      <c r="J12" s="229"/>
      <c r="K12" s="229"/>
      <c r="L12" s="229"/>
      <c r="M12" s="229"/>
      <c r="N12" s="229"/>
      <c r="O12" s="229"/>
      <c r="P12" s="229"/>
      <c r="Q12" s="229"/>
      <c r="R12" s="229"/>
      <c r="S12" s="222"/>
      <c r="T12" s="222"/>
      <c r="U12" s="222"/>
      <c r="V12" s="222"/>
      <c r="W12" s="222"/>
      <c r="X12" s="222"/>
      <c r="Y12" s="222"/>
      <c r="Z12" s="222"/>
      <c r="AA12" s="222"/>
      <c r="AB12" s="222"/>
      <c r="AC12" s="222"/>
      <c r="AD12" s="231"/>
      <c r="AE12" s="231"/>
      <c r="AF12" s="231"/>
      <c r="AG12" s="231"/>
      <c r="AH12" s="231"/>
      <c r="AI12" s="231"/>
      <c r="AJ12" s="231"/>
      <c r="AK12" s="231"/>
      <c r="AL12" s="231"/>
      <c r="AM12" s="231"/>
      <c r="AN12" s="231"/>
    </row>
    <row r="13" spans="2:41" x14ac:dyDescent="0.35">
      <c r="B13" s="264" t="s">
        <v>286</v>
      </c>
      <c r="C13" s="257" t="s">
        <v>287</v>
      </c>
      <c r="D13" s="272">
        <f>'Haver Pivoted'!GO63</f>
        <v>0</v>
      </c>
      <c r="E13" s="229">
        <f>'Haver Pivoted'!GP63</f>
        <v>0</v>
      </c>
      <c r="F13" s="229">
        <f>'Haver Pivoted'!GQ63</f>
        <v>0</v>
      </c>
      <c r="G13" s="229">
        <f>'Haver Pivoted'!GR63</f>
        <v>0</v>
      </c>
      <c r="H13" s="229">
        <f>'Haver Pivoted'!GS63</f>
        <v>0</v>
      </c>
      <c r="I13" s="229">
        <f>'Haver Pivoted'!GT63</f>
        <v>0</v>
      </c>
      <c r="J13" s="229">
        <f>'Haver Pivoted'!GU63</f>
        <v>0.1</v>
      </c>
      <c r="K13" s="229">
        <f>'Haver Pivoted'!GV63</f>
        <v>3.7</v>
      </c>
      <c r="L13" s="229">
        <f>'Haver Pivoted'!GW63</f>
        <v>12.9</v>
      </c>
      <c r="M13" s="229">
        <f>'Haver Pivoted'!GX63</f>
        <v>25.5</v>
      </c>
      <c r="N13" s="229">
        <f>'Haver Pivoted'!GY63</f>
        <v>3.8</v>
      </c>
      <c r="O13" s="229">
        <f>'Haver Pivoted'!GZ63</f>
        <v>1.8</v>
      </c>
      <c r="P13" s="229">
        <f>'Haver Pivoted'!HA63</f>
        <v>0.6</v>
      </c>
      <c r="Q13" s="229">
        <f>'Haver Pivoted'!HB63</f>
        <v>0.2</v>
      </c>
      <c r="R13" s="229">
        <f>'Haver Pivoted'!HC63</f>
        <v>0.1</v>
      </c>
      <c r="S13" s="222">
        <f>'Haver Pivoted'!HD63</f>
        <v>0</v>
      </c>
      <c r="T13" s="222">
        <f>'Haver Pivoted'!HE63</f>
        <v>0</v>
      </c>
      <c r="U13" s="222">
        <f>'Haver Pivoted'!HF63</f>
        <v>0</v>
      </c>
      <c r="V13" s="222">
        <f>'Haver Pivoted'!HG63</f>
        <v>0</v>
      </c>
      <c r="W13" s="222">
        <f>'Haver Pivoted'!HH63</f>
        <v>0</v>
      </c>
      <c r="X13" s="222">
        <f>'Haver Pivoted'!HI63</f>
        <v>0</v>
      </c>
      <c r="Y13" s="222">
        <f>'Haver Pivoted'!HJ63</f>
        <v>0</v>
      </c>
      <c r="Z13" s="222">
        <f>'Haver Pivoted'!HK63</f>
        <v>0</v>
      </c>
      <c r="AA13" s="222">
        <f>'Haver Pivoted'!HL63</f>
        <v>0</v>
      </c>
      <c r="AB13" s="222">
        <f>'Haver Pivoted'!HM63</f>
        <v>0</v>
      </c>
      <c r="AC13" s="222">
        <f>'Haver Pivoted'!HN63</f>
        <v>0</v>
      </c>
      <c r="AD13" s="231">
        <f t="shared" ref="AD13:AH13" si="2">AC13*AD24/AC24</f>
        <v>0</v>
      </c>
      <c r="AE13" s="231">
        <f t="shared" si="2"/>
        <v>0</v>
      </c>
      <c r="AF13" s="231">
        <f t="shared" si="2"/>
        <v>0</v>
      </c>
      <c r="AG13" s="231">
        <f t="shared" si="2"/>
        <v>0</v>
      </c>
      <c r="AH13" s="231">
        <f t="shared" si="2"/>
        <v>0</v>
      </c>
      <c r="AI13" s="231">
        <f t="shared" ref="AI13" si="3">AH13*AI24/AH24</f>
        <v>0</v>
      </c>
      <c r="AJ13" s="231">
        <f>AI13*AJ24/AI24</f>
        <v>0</v>
      </c>
      <c r="AK13" s="231">
        <f t="shared" ref="AK13:AN13" si="4">AJ13*AK24/AJ24</f>
        <v>0</v>
      </c>
      <c r="AL13" s="231">
        <f t="shared" si="4"/>
        <v>0</v>
      </c>
      <c r="AM13" s="231">
        <f t="shared" si="4"/>
        <v>0</v>
      </c>
      <c r="AN13" s="231">
        <f t="shared" si="4"/>
        <v>0</v>
      </c>
    </row>
    <row r="14" spans="2:41" x14ac:dyDescent="0.35">
      <c r="B14" s="264" t="s">
        <v>288</v>
      </c>
      <c r="C14" s="257"/>
      <c r="D14" s="272"/>
      <c r="E14" s="229"/>
      <c r="F14" s="229"/>
      <c r="G14" s="229"/>
      <c r="H14" s="237">
        <f>SUM(H15:H18)</f>
        <v>0</v>
      </c>
      <c r="I14" s="237">
        <f t="shared" ref="I14:M14" si="5">SUM(I15:I18)</f>
        <v>0</v>
      </c>
      <c r="J14" s="237">
        <f t="shared" si="5"/>
        <v>779.7</v>
      </c>
      <c r="K14" s="237">
        <f t="shared" si="5"/>
        <v>582.6</v>
      </c>
      <c r="L14" s="237">
        <f t="shared" si="5"/>
        <v>216.5</v>
      </c>
      <c r="M14" s="237">
        <f t="shared" si="5"/>
        <v>497.6</v>
      </c>
      <c r="N14" s="242">
        <f>SUM(N15:N18)</f>
        <v>401.5</v>
      </c>
      <c r="O14" s="242">
        <f t="shared" ref="O14:AC14" si="6">SUM(O15:O18)</f>
        <v>207.4</v>
      </c>
      <c r="P14" s="242">
        <f t="shared" si="6"/>
        <v>5.5</v>
      </c>
      <c r="Q14" s="242">
        <v>0</v>
      </c>
      <c r="R14" s="242">
        <f t="shared" si="6"/>
        <v>1</v>
      </c>
      <c r="S14" s="242">
        <f t="shared" si="6"/>
        <v>0.5</v>
      </c>
      <c r="T14" s="242">
        <f t="shared" si="6"/>
        <v>0.30000000000000004</v>
      </c>
      <c r="U14" s="242">
        <f t="shared" si="6"/>
        <v>0</v>
      </c>
      <c r="V14" s="237">
        <f t="shared" si="6"/>
        <v>0</v>
      </c>
      <c r="W14" s="237">
        <f t="shared" si="6"/>
        <v>0</v>
      </c>
      <c r="X14" s="231">
        <f>SUM(X15:X18)</f>
        <v>0</v>
      </c>
      <c r="Y14" s="231">
        <f t="shared" si="6"/>
        <v>0</v>
      </c>
      <c r="Z14" s="231">
        <f t="shared" si="6"/>
        <v>0</v>
      </c>
      <c r="AA14" s="231">
        <f t="shared" si="6"/>
        <v>0</v>
      </c>
      <c r="AB14" s="231">
        <f t="shared" si="6"/>
        <v>0</v>
      </c>
      <c r="AC14" s="231">
        <f t="shared" si="6"/>
        <v>0</v>
      </c>
      <c r="AD14" s="231">
        <f t="shared" ref="AD14:AG14" si="7">SUM(AD15:AD18)</f>
        <v>0</v>
      </c>
      <c r="AE14" s="231">
        <f t="shared" si="7"/>
        <v>0</v>
      </c>
      <c r="AF14" s="231">
        <f t="shared" si="7"/>
        <v>0</v>
      </c>
      <c r="AG14" s="231">
        <f t="shared" si="7"/>
        <v>0</v>
      </c>
      <c r="AH14" s="231">
        <f t="shared" ref="AH14:AI14" si="8">SUM(AH15:AH18)</f>
        <v>0</v>
      </c>
      <c r="AI14" s="231">
        <f t="shared" si="8"/>
        <v>0</v>
      </c>
      <c r="AJ14" s="231">
        <f>SUM(AJ15:AJ18)</f>
        <v>0</v>
      </c>
      <c r="AK14" s="231">
        <f t="shared" ref="AK14:AN14" si="9">SUM(AK15:AK18)</f>
        <v>0</v>
      </c>
      <c r="AL14" s="231">
        <f t="shared" si="9"/>
        <v>0</v>
      </c>
      <c r="AM14" s="231">
        <f t="shared" si="9"/>
        <v>0</v>
      </c>
      <c r="AN14" s="231">
        <f t="shared" si="9"/>
        <v>0</v>
      </c>
    </row>
    <row r="15" spans="2:41" ht="18" customHeight="1" x14ac:dyDescent="0.35">
      <c r="B15" s="250" t="s">
        <v>289</v>
      </c>
      <c r="C15" s="251" t="s">
        <v>287</v>
      </c>
      <c r="D15" s="271">
        <f>'Haver Pivoted'!GO63</f>
        <v>0</v>
      </c>
      <c r="E15" s="241">
        <f>'Haver Pivoted'!GP63</f>
        <v>0</v>
      </c>
      <c r="F15" s="241">
        <f>'Haver Pivoted'!GQ63</f>
        <v>0</v>
      </c>
      <c r="G15" s="241">
        <f>'Haver Pivoted'!GR63</f>
        <v>0</v>
      </c>
      <c r="H15" s="241">
        <f>'Haver Pivoted'!GS63</f>
        <v>0</v>
      </c>
      <c r="I15" s="241">
        <f>'Haver Pivoted'!GT63</f>
        <v>0</v>
      </c>
      <c r="J15" s="241">
        <f>'Haver Pivoted'!GU63</f>
        <v>0.1</v>
      </c>
      <c r="K15" s="241">
        <f>'Haver Pivoted'!GV63</f>
        <v>3.7</v>
      </c>
      <c r="L15" s="241">
        <f>'Haver Pivoted'!GW63</f>
        <v>12.9</v>
      </c>
      <c r="M15" s="241">
        <f>'Haver Pivoted'!GX63</f>
        <v>25.5</v>
      </c>
      <c r="N15" s="241">
        <f>'Haver Pivoted'!GY63</f>
        <v>3.8</v>
      </c>
      <c r="O15" s="241">
        <f>'Haver Pivoted'!GZ63</f>
        <v>1.8</v>
      </c>
      <c r="P15" s="241">
        <f>'Haver Pivoted'!HA63</f>
        <v>0.6</v>
      </c>
      <c r="Q15" s="241">
        <f>'Haver Pivoted'!HB63</f>
        <v>0.2</v>
      </c>
      <c r="R15" s="241">
        <f>'Haver Pivoted'!HC63</f>
        <v>0.1</v>
      </c>
      <c r="S15" s="243">
        <f>'Haver Pivoted'!HD63</f>
        <v>0</v>
      </c>
      <c r="T15" s="243">
        <f>'Haver Pivoted'!HE63</f>
        <v>0</v>
      </c>
      <c r="U15" s="243">
        <f>'Haver Pivoted'!HF63</f>
        <v>0</v>
      </c>
      <c r="V15" s="243">
        <f>'Haver Pivoted'!HG63</f>
        <v>0</v>
      </c>
      <c r="W15" s="243">
        <f>'Haver Pivoted'!HH63</f>
        <v>0</v>
      </c>
      <c r="X15" s="243">
        <f>'Haver Pivoted'!HI63</f>
        <v>0</v>
      </c>
      <c r="Y15" s="243">
        <f>'Haver Pivoted'!HJ63</f>
        <v>0</v>
      </c>
      <c r="Z15" s="243">
        <f>'Haver Pivoted'!HK63</f>
        <v>0</v>
      </c>
      <c r="AA15" s="243">
        <f>'Haver Pivoted'!HL63</f>
        <v>0</v>
      </c>
      <c r="AB15" s="243">
        <f>'Haver Pivoted'!HM63</f>
        <v>0</v>
      </c>
      <c r="AC15" s="243">
        <f>'Haver Pivoted'!HN63</f>
        <v>0</v>
      </c>
      <c r="AD15" s="231">
        <f t="shared" ref="AD15:AG15" si="10">AD13</f>
        <v>0</v>
      </c>
      <c r="AE15" s="231">
        <f t="shared" si="10"/>
        <v>0</v>
      </c>
      <c r="AF15" s="231">
        <f>AF13</f>
        <v>0</v>
      </c>
      <c r="AG15" s="231">
        <f t="shared" si="10"/>
        <v>0</v>
      </c>
      <c r="AH15" s="231">
        <f t="shared" ref="AH15:AJ15" si="11">AH13</f>
        <v>0</v>
      </c>
      <c r="AI15" s="231">
        <f t="shared" si="11"/>
        <v>0</v>
      </c>
      <c r="AJ15" s="231">
        <f t="shared" si="11"/>
        <v>0</v>
      </c>
      <c r="AK15" s="231">
        <f t="shared" ref="AK15:AN15" si="12">AK13</f>
        <v>0</v>
      </c>
      <c r="AL15" s="231">
        <f t="shared" si="12"/>
        <v>0</v>
      </c>
      <c r="AM15" s="231">
        <f t="shared" si="12"/>
        <v>0</v>
      </c>
      <c r="AN15" s="231">
        <f t="shared" si="12"/>
        <v>0</v>
      </c>
    </row>
    <row r="16" spans="2:41" ht="18" customHeight="1" x14ac:dyDescent="0.35">
      <c r="B16" s="250" t="s">
        <v>290</v>
      </c>
      <c r="C16" s="251" t="s">
        <v>291</v>
      </c>
      <c r="D16" s="271">
        <f>'Haver Pivoted'!GO59</f>
        <v>0</v>
      </c>
      <c r="E16" s="241">
        <f>'Haver Pivoted'!GP59</f>
        <v>0</v>
      </c>
      <c r="F16" s="241">
        <f>'Haver Pivoted'!GQ59</f>
        <v>0</v>
      </c>
      <c r="G16" s="241">
        <f>'Haver Pivoted'!GR59</f>
        <v>0</v>
      </c>
      <c r="H16" s="241">
        <f>'Haver Pivoted'!GS59</f>
        <v>0</v>
      </c>
      <c r="I16" s="241">
        <f>'Haver Pivoted'!GT59</f>
        <v>0</v>
      </c>
      <c r="J16" s="241">
        <f>'Haver Pivoted'!GU59</f>
        <v>6.3</v>
      </c>
      <c r="K16" s="241">
        <f>'Haver Pivoted'!GV59</f>
        <v>26.7</v>
      </c>
      <c r="L16" s="241">
        <f>'Haver Pivoted'!GW59</f>
        <v>82.1</v>
      </c>
      <c r="M16" s="241">
        <f>'Haver Pivoted'!GX59</f>
        <v>94.7</v>
      </c>
      <c r="N16" s="241">
        <f>'Haver Pivoted'!GY59</f>
        <v>92.1</v>
      </c>
      <c r="O16" s="241">
        <f>'Haver Pivoted'!GZ59</f>
        <v>51.6</v>
      </c>
      <c r="P16" s="241">
        <f>'Haver Pivoted'!HA59</f>
        <v>2.8</v>
      </c>
      <c r="Q16" s="241">
        <f>'Haver Pivoted'!HB59</f>
        <v>0.8</v>
      </c>
      <c r="R16" s="241">
        <f>'Haver Pivoted'!HC59</f>
        <v>0.5</v>
      </c>
      <c r="S16" s="243">
        <f>'Haver Pivoted'!HD59</f>
        <v>0.3</v>
      </c>
      <c r="T16" s="243">
        <f>'Haver Pivoted'!HE59</f>
        <v>0.2</v>
      </c>
      <c r="U16" s="243">
        <f>'Haver Pivoted'!HF59</f>
        <v>0</v>
      </c>
      <c r="V16" s="243">
        <f>'Haver Pivoted'!HG59</f>
        <v>0</v>
      </c>
      <c r="W16" s="243">
        <f>'Haver Pivoted'!HH59</f>
        <v>0</v>
      </c>
      <c r="X16" s="243">
        <f>'Haver Pivoted'!HI59</f>
        <v>0</v>
      </c>
      <c r="Y16" s="243">
        <f>'Haver Pivoted'!HJ59</f>
        <v>0</v>
      </c>
      <c r="Z16" s="243">
        <f>'Haver Pivoted'!HK59</f>
        <v>0</v>
      </c>
      <c r="AA16" s="243">
        <f>'Haver Pivoted'!HL59</f>
        <v>0</v>
      </c>
      <c r="AB16" s="243">
        <f>'Haver Pivoted'!HM59</f>
        <v>0</v>
      </c>
      <c r="AC16" s="243">
        <f>'Haver Pivoted'!HN59</f>
        <v>0</v>
      </c>
      <c r="AD16" s="231">
        <f t="shared" ref="AD16:AH18" si="13">AC16*AD$24/AC$24</f>
        <v>0</v>
      </c>
      <c r="AE16" s="231">
        <f t="shared" si="13"/>
        <v>0</v>
      </c>
      <c r="AF16" s="231">
        <f t="shared" si="13"/>
        <v>0</v>
      </c>
      <c r="AG16" s="231">
        <f t="shared" si="13"/>
        <v>0</v>
      </c>
      <c r="AH16" s="231">
        <f t="shared" si="13"/>
        <v>0</v>
      </c>
      <c r="AI16" s="231">
        <f t="shared" ref="AI16:AI18" si="14">AH16*AI$24/AH$24</f>
        <v>0</v>
      </c>
      <c r="AJ16" s="231">
        <f t="shared" ref="AJ16:AJ18" si="15">AI16*AJ$24/AI$24</f>
        <v>0</v>
      </c>
      <c r="AK16" s="231">
        <f t="shared" ref="AK16:AK18" si="16">AJ16*AK$24/AJ$24</f>
        <v>0</v>
      </c>
      <c r="AL16" s="231">
        <f t="shared" ref="AL16:AL18" si="17">AK16*AL$24/AK$24</f>
        <v>0</v>
      </c>
      <c r="AM16" s="231">
        <f t="shared" ref="AM16:AM18" si="18">AL16*AM$24/AL$24</f>
        <v>0</v>
      </c>
      <c r="AN16" s="231">
        <f t="shared" ref="AN16:AN18" si="19">AM16*AN$24/AM$24</f>
        <v>0</v>
      </c>
    </row>
    <row r="17" spans="2:69" ht="18" customHeight="1" x14ac:dyDescent="0.35">
      <c r="B17" s="250" t="s">
        <v>292</v>
      </c>
      <c r="C17" s="251" t="s">
        <v>293</v>
      </c>
      <c r="D17" s="271">
        <f>'Haver Pivoted'!GO60</f>
        <v>0</v>
      </c>
      <c r="E17" s="241">
        <f>'Haver Pivoted'!GP60</f>
        <v>0</v>
      </c>
      <c r="F17" s="241">
        <f>'Haver Pivoted'!GQ60</f>
        <v>0</v>
      </c>
      <c r="G17" s="241">
        <f>'Haver Pivoted'!GR60</f>
        <v>0</v>
      </c>
      <c r="H17" s="241">
        <f>'Haver Pivoted'!GS60</f>
        <v>0</v>
      </c>
      <c r="I17" s="241">
        <f>'Haver Pivoted'!GT60</f>
        <v>0</v>
      </c>
      <c r="J17" s="241">
        <f>'Haver Pivoted'!GU60</f>
        <v>74.400000000000006</v>
      </c>
      <c r="K17" s="241">
        <f>'Haver Pivoted'!GV60</f>
        <v>138.30000000000001</v>
      </c>
      <c r="L17" s="241">
        <f>'Haver Pivoted'!GW60</f>
        <v>106.8</v>
      </c>
      <c r="M17" s="241">
        <f>'Haver Pivoted'!GX60</f>
        <v>89.2</v>
      </c>
      <c r="N17" s="241">
        <f>'Haver Pivoted'!GY60</f>
        <v>72.3</v>
      </c>
      <c r="O17" s="241">
        <f>'Haver Pivoted'!GZ60</f>
        <v>43.5</v>
      </c>
      <c r="P17" s="241">
        <f>'Haver Pivoted'!HA60</f>
        <v>2.1</v>
      </c>
      <c r="Q17" s="241">
        <f>'Haver Pivoted'!HB60</f>
        <v>0.8</v>
      </c>
      <c r="R17" s="241">
        <f>'Haver Pivoted'!HC60</f>
        <v>0.4</v>
      </c>
      <c r="S17" s="243">
        <f>'Haver Pivoted'!HD60</f>
        <v>0.2</v>
      </c>
      <c r="T17" s="243">
        <f>'Haver Pivoted'!HE60</f>
        <v>0.1</v>
      </c>
      <c r="U17" s="243">
        <f>'Haver Pivoted'!HF60</f>
        <v>0</v>
      </c>
      <c r="V17" s="243">
        <f>'Haver Pivoted'!HG60</f>
        <v>0</v>
      </c>
      <c r="W17" s="243">
        <f>'Haver Pivoted'!HH60</f>
        <v>0</v>
      </c>
      <c r="X17" s="243">
        <f>'Haver Pivoted'!HI60</f>
        <v>0</v>
      </c>
      <c r="Y17" s="243">
        <f>'Haver Pivoted'!HJ60</f>
        <v>0</v>
      </c>
      <c r="Z17" s="243">
        <f>'Haver Pivoted'!HK60</f>
        <v>0</v>
      </c>
      <c r="AA17" s="243">
        <f>'Haver Pivoted'!HL60</f>
        <v>0</v>
      </c>
      <c r="AB17" s="243">
        <f>'Haver Pivoted'!HM60</f>
        <v>0</v>
      </c>
      <c r="AC17" s="243">
        <f>'Haver Pivoted'!HN60</f>
        <v>0</v>
      </c>
      <c r="AD17" s="231">
        <f t="shared" si="13"/>
        <v>0</v>
      </c>
      <c r="AE17" s="231">
        <f t="shared" si="13"/>
        <v>0</v>
      </c>
      <c r="AF17" s="231">
        <f t="shared" si="13"/>
        <v>0</v>
      </c>
      <c r="AG17" s="231">
        <f t="shared" si="13"/>
        <v>0</v>
      </c>
      <c r="AH17" s="231">
        <f t="shared" si="13"/>
        <v>0</v>
      </c>
      <c r="AI17" s="231">
        <f t="shared" si="14"/>
        <v>0</v>
      </c>
      <c r="AJ17" s="231">
        <f t="shared" si="15"/>
        <v>0</v>
      </c>
      <c r="AK17" s="231">
        <f t="shared" si="16"/>
        <v>0</v>
      </c>
      <c r="AL17" s="231">
        <f t="shared" si="17"/>
        <v>0</v>
      </c>
      <c r="AM17" s="231">
        <f t="shared" si="18"/>
        <v>0</v>
      </c>
      <c r="AN17" s="231">
        <f t="shared" si="19"/>
        <v>0</v>
      </c>
    </row>
    <row r="18" spans="2:69" ht="18" customHeight="1" x14ac:dyDescent="0.35">
      <c r="B18" s="250" t="s">
        <v>294</v>
      </c>
      <c r="C18" s="251" t="s">
        <v>295</v>
      </c>
      <c r="D18" s="271">
        <f>'Haver Pivoted'!GO61</f>
        <v>0</v>
      </c>
      <c r="E18" s="241">
        <f>'Haver Pivoted'!GP61</f>
        <v>0</v>
      </c>
      <c r="F18" s="241">
        <f>'Haver Pivoted'!GQ61</f>
        <v>0</v>
      </c>
      <c r="G18" s="241">
        <f>'Haver Pivoted'!GR61</f>
        <v>0</v>
      </c>
      <c r="H18" s="241">
        <f>'Haver Pivoted'!GS61</f>
        <v>0</v>
      </c>
      <c r="I18" s="241">
        <f>'Haver Pivoted'!GT61</f>
        <v>0</v>
      </c>
      <c r="J18" s="241">
        <f>'Haver Pivoted'!GU61</f>
        <v>698.9</v>
      </c>
      <c r="K18" s="241">
        <f>'Haver Pivoted'!GV61</f>
        <v>413.9</v>
      </c>
      <c r="L18" s="241">
        <f>'Haver Pivoted'!GW61</f>
        <v>14.7</v>
      </c>
      <c r="M18" s="241">
        <f>'Haver Pivoted'!GX61</f>
        <v>288.2</v>
      </c>
      <c r="N18" s="241">
        <f>'Haver Pivoted'!GY61</f>
        <v>233.3</v>
      </c>
      <c r="O18" s="241">
        <f>'Haver Pivoted'!GZ61</f>
        <v>110.5</v>
      </c>
      <c r="P18" s="241">
        <f>'Haver Pivoted'!HA61</f>
        <v>0</v>
      </c>
      <c r="Q18" s="241">
        <f>'Haver Pivoted'!HB61</f>
        <v>0</v>
      </c>
      <c r="R18" s="241">
        <f>'Haver Pivoted'!HC61</f>
        <v>0</v>
      </c>
      <c r="S18" s="243">
        <f>'Haver Pivoted'!HD61</f>
        <v>0</v>
      </c>
      <c r="T18" s="243">
        <f>'Haver Pivoted'!HE61</f>
        <v>0</v>
      </c>
      <c r="U18" s="243">
        <f>'Haver Pivoted'!HF61</f>
        <v>0</v>
      </c>
      <c r="V18" s="243">
        <f>'Haver Pivoted'!HG61</f>
        <v>0</v>
      </c>
      <c r="W18" s="243">
        <f>'Haver Pivoted'!HH61</f>
        <v>0</v>
      </c>
      <c r="X18" s="243">
        <f>'Haver Pivoted'!HI61</f>
        <v>0</v>
      </c>
      <c r="Y18" s="243">
        <f>'Haver Pivoted'!HJ61</f>
        <v>0</v>
      </c>
      <c r="Z18" s="243">
        <f>'Haver Pivoted'!HK61</f>
        <v>0</v>
      </c>
      <c r="AA18" s="243">
        <f>'Haver Pivoted'!HL61</f>
        <v>0</v>
      </c>
      <c r="AB18" s="243">
        <f>'Haver Pivoted'!HM61</f>
        <v>0</v>
      </c>
      <c r="AC18" s="243">
        <f>'Haver Pivoted'!HN61</f>
        <v>0</v>
      </c>
      <c r="AD18" s="231">
        <f t="shared" si="13"/>
        <v>0</v>
      </c>
      <c r="AE18" s="231">
        <f t="shared" si="13"/>
        <v>0</v>
      </c>
      <c r="AF18" s="231">
        <f t="shared" si="13"/>
        <v>0</v>
      </c>
      <c r="AG18" s="231">
        <f t="shared" si="13"/>
        <v>0</v>
      </c>
      <c r="AH18" s="231">
        <f t="shared" si="13"/>
        <v>0</v>
      </c>
      <c r="AI18" s="231">
        <f t="shared" si="14"/>
        <v>0</v>
      </c>
      <c r="AJ18" s="231">
        <f t="shared" si="15"/>
        <v>0</v>
      </c>
      <c r="AK18" s="231">
        <f t="shared" si="16"/>
        <v>0</v>
      </c>
      <c r="AL18" s="231">
        <f t="shared" si="17"/>
        <v>0</v>
      </c>
      <c r="AM18" s="231">
        <f t="shared" si="18"/>
        <v>0</v>
      </c>
      <c r="AN18" s="231">
        <f t="shared" si="19"/>
        <v>0</v>
      </c>
    </row>
    <row r="19" spans="2:69" x14ac:dyDescent="0.35">
      <c r="B19" s="252" t="s">
        <v>158</v>
      </c>
      <c r="C19" s="245" t="s">
        <v>296</v>
      </c>
      <c r="D19" s="272">
        <f>'Haver Pivoted'!GO64</f>
        <v>0</v>
      </c>
      <c r="E19" s="229">
        <f>'Haver Pivoted'!GP64</f>
        <v>0</v>
      </c>
      <c r="F19" s="229">
        <f>'Haver Pivoted'!GQ64</f>
        <v>0</v>
      </c>
      <c r="G19" s="229">
        <f>'Haver Pivoted'!GR64</f>
        <v>0</v>
      </c>
      <c r="H19" s="229">
        <f>'Haver Pivoted'!GS64</f>
        <v>0</v>
      </c>
      <c r="I19" s="229">
        <f>'Haver Pivoted'!GT64</f>
        <v>0</v>
      </c>
      <c r="J19" s="229">
        <f>'Haver Pivoted'!GU64</f>
        <v>0</v>
      </c>
      <c r="K19" s="229">
        <f>'Haver Pivoted'!GV64</f>
        <v>106.2</v>
      </c>
      <c r="L19" s="229">
        <f>'Haver Pivoted'!GW64</f>
        <v>35.9</v>
      </c>
      <c r="M19" s="229">
        <f>'Haver Pivoted'!GX64</f>
        <v>1.6</v>
      </c>
      <c r="N19" s="229">
        <f>'Haver Pivoted'!GY64</f>
        <v>0.6</v>
      </c>
      <c r="O19" s="229">
        <f>'Haver Pivoted'!GZ64</f>
        <v>0.1</v>
      </c>
      <c r="P19" s="229">
        <f>'Haver Pivoted'!HA64</f>
        <v>0</v>
      </c>
      <c r="Q19" s="241">
        <f>'Haver Pivoted'!HB64</f>
        <v>0</v>
      </c>
      <c r="R19" s="241">
        <f>'Haver Pivoted'!HC64</f>
        <v>0</v>
      </c>
      <c r="S19" s="243">
        <f>'Haver Pivoted'!HD64</f>
        <v>0</v>
      </c>
      <c r="T19" s="243">
        <f>'Haver Pivoted'!HE64</f>
        <v>0</v>
      </c>
      <c r="U19" s="243">
        <f>'Haver Pivoted'!HF64</f>
        <v>0</v>
      </c>
      <c r="V19" s="243">
        <f>'Haver Pivoted'!HG64</f>
        <v>0</v>
      </c>
      <c r="W19" s="243">
        <f>'Haver Pivoted'!HH64</f>
        <v>0</v>
      </c>
      <c r="X19" s="243">
        <f>'Haver Pivoted'!HI64</f>
        <v>0</v>
      </c>
      <c r="Y19" s="243">
        <f>'Haver Pivoted'!HJ64</f>
        <v>0</v>
      </c>
      <c r="Z19" s="243">
        <f>'Haver Pivoted'!HK64</f>
        <v>0</v>
      </c>
      <c r="AA19" s="243">
        <f>'Haver Pivoted'!HL64</f>
        <v>0</v>
      </c>
      <c r="AB19" s="243">
        <f>'Haver Pivoted'!HM64</f>
        <v>0</v>
      </c>
      <c r="AC19" s="243">
        <f>'Haver Pivoted'!HN64</f>
        <v>0</v>
      </c>
      <c r="AD19" s="231"/>
      <c r="AE19" s="231"/>
      <c r="AF19" s="231"/>
      <c r="AG19" s="231"/>
      <c r="AH19" s="231"/>
      <c r="AI19" s="231"/>
      <c r="AJ19" s="231"/>
      <c r="AK19" s="231"/>
      <c r="AL19" s="231"/>
      <c r="AM19" s="231"/>
      <c r="AN19" s="231"/>
    </row>
    <row r="20" spans="2:69" ht="14.9" customHeight="1" x14ac:dyDescent="0.35">
      <c r="B20" s="268" t="s">
        <v>297</v>
      </c>
      <c r="C20" s="258"/>
      <c r="D20" s="262">
        <f t="shared" ref="D20:U20" si="20">D11-D21</f>
        <v>0</v>
      </c>
      <c r="E20" s="239">
        <f t="shared" si="20"/>
        <v>0</v>
      </c>
      <c r="F20" s="239">
        <f t="shared" si="20"/>
        <v>0</v>
      </c>
      <c r="G20" s="239">
        <f t="shared" si="20"/>
        <v>0</v>
      </c>
      <c r="H20" s="239">
        <f t="shared" si="20"/>
        <v>0</v>
      </c>
      <c r="I20" s="239">
        <f t="shared" si="20"/>
        <v>0</v>
      </c>
      <c r="J20" s="239">
        <f t="shared" si="20"/>
        <v>779.80000000000007</v>
      </c>
      <c r="K20" s="239">
        <f t="shared" si="20"/>
        <v>586.29999999999995</v>
      </c>
      <c r="L20" s="239">
        <f t="shared" si="20"/>
        <v>229.4</v>
      </c>
      <c r="M20" s="239">
        <f t="shared" si="20"/>
        <v>523.1</v>
      </c>
      <c r="N20" s="240">
        <f t="shared" si="20"/>
        <v>405.3</v>
      </c>
      <c r="O20" s="240">
        <f t="shared" si="20"/>
        <v>209.20000000000002</v>
      </c>
      <c r="P20" s="240">
        <f t="shared" si="20"/>
        <v>6.1000000000000014</v>
      </c>
      <c r="Q20" s="240">
        <f t="shared" si="20"/>
        <v>0.19999999999999929</v>
      </c>
      <c r="R20" s="240">
        <f t="shared" si="20"/>
        <v>1.1000000000000014</v>
      </c>
      <c r="S20" s="240">
        <f t="shared" si="20"/>
        <v>0.5</v>
      </c>
      <c r="T20" s="240">
        <f t="shared" si="20"/>
        <v>0.30000000000000071</v>
      </c>
      <c r="U20" s="240">
        <f t="shared" si="20"/>
        <v>0</v>
      </c>
      <c r="V20" s="239">
        <v>0</v>
      </c>
      <c r="W20" s="239">
        <v>0</v>
      </c>
      <c r="X20" s="244">
        <f t="shared" ref="X20:AH20" si="21">X11-X21</f>
        <v>4.632399999999997</v>
      </c>
      <c r="Y20" s="244">
        <f t="shared" si="21"/>
        <v>3.0799999999999947</v>
      </c>
      <c r="Z20" s="244">
        <f t="shared" si="21"/>
        <v>0</v>
      </c>
      <c r="AA20" s="244">
        <f t="shared" si="21"/>
        <v>0</v>
      </c>
      <c r="AB20" s="244">
        <f t="shared" si="21"/>
        <v>0.39999999999999858</v>
      </c>
      <c r="AC20" s="244">
        <f t="shared" si="21"/>
        <v>9.9999999999994316E-2</v>
      </c>
      <c r="AD20" s="244">
        <f t="shared" si="21"/>
        <v>0</v>
      </c>
      <c r="AE20" s="244">
        <f t="shared" si="21"/>
        <v>0</v>
      </c>
      <c r="AF20" s="244">
        <f t="shared" si="21"/>
        <v>0</v>
      </c>
      <c r="AG20" s="244">
        <f t="shared" si="21"/>
        <v>0</v>
      </c>
      <c r="AH20" s="244">
        <f t="shared" si="21"/>
        <v>0</v>
      </c>
      <c r="AI20" s="244">
        <f t="shared" ref="AI20:AJ20" si="22">AI11-AI21</f>
        <v>0</v>
      </c>
      <c r="AJ20" s="244">
        <f t="shared" si="22"/>
        <v>0</v>
      </c>
      <c r="AK20" s="244">
        <f t="shared" ref="AK20:AN20" si="23">AK11-AK21</f>
        <v>0</v>
      </c>
      <c r="AL20" s="244">
        <f t="shared" si="23"/>
        <v>0</v>
      </c>
      <c r="AM20" s="244">
        <f t="shared" si="23"/>
        <v>0</v>
      </c>
      <c r="AN20" s="244">
        <f t="shared" si="23"/>
        <v>0</v>
      </c>
    </row>
    <row r="21" spans="2:69" ht="14.9" customHeight="1" x14ac:dyDescent="0.35">
      <c r="B21" s="268" t="s">
        <v>298</v>
      </c>
      <c r="C21" s="258"/>
      <c r="D21" s="262">
        <f t="shared" ref="D21:I21" si="24">D11</f>
        <v>27.1</v>
      </c>
      <c r="E21" s="239">
        <f t="shared" si="24"/>
        <v>29.6</v>
      </c>
      <c r="F21" s="239">
        <f t="shared" si="24"/>
        <v>27.3</v>
      </c>
      <c r="G21" s="239">
        <f t="shared" si="24"/>
        <v>26.4</v>
      </c>
      <c r="H21" s="239">
        <f t="shared" si="24"/>
        <v>26.7</v>
      </c>
      <c r="I21" s="239">
        <f t="shared" si="24"/>
        <v>40.1</v>
      </c>
      <c r="J21" s="239">
        <f>J11-J14-J13</f>
        <v>171.69999999999996</v>
      </c>
      <c r="K21" s="239">
        <f>K11-K14-K13</f>
        <v>213.7</v>
      </c>
      <c r="L21" s="239">
        <f>L11-L14-L13</f>
        <v>93.299999999999983</v>
      </c>
      <c r="M21" s="239">
        <f>M11-M14-M13</f>
        <v>60.699999999999932</v>
      </c>
      <c r="N21" s="240">
        <f t="shared" ref="N21:U21" si="25">N11-N13-N14</f>
        <v>35.5</v>
      </c>
      <c r="O21" s="240">
        <f t="shared" si="25"/>
        <v>3.5999999999999943</v>
      </c>
      <c r="P21" s="240">
        <f t="shared" si="25"/>
        <v>25.7</v>
      </c>
      <c r="Q21" s="241">
        <f t="shared" si="25"/>
        <v>24.3</v>
      </c>
      <c r="R21" s="241">
        <f t="shared" si="25"/>
        <v>20.599999999999998</v>
      </c>
      <c r="S21" s="241">
        <f t="shared" si="25"/>
        <v>22.6</v>
      </c>
      <c r="T21" s="241">
        <f t="shared" si="25"/>
        <v>25.599999999999998</v>
      </c>
      <c r="U21" s="241">
        <f t="shared" si="25"/>
        <v>30.1</v>
      </c>
      <c r="V21" s="239">
        <f>U21*V24/U24</f>
        <v>30.960000000000004</v>
      </c>
      <c r="W21" s="239">
        <f>V21*W24/V24</f>
        <v>30.960000000000004</v>
      </c>
      <c r="X21" s="244">
        <f t="shared" ref="X21:Y21" si="26">W21*X24/W24</f>
        <v>30.6676</v>
      </c>
      <c r="Y21" s="244">
        <f t="shared" si="26"/>
        <v>31.820000000000004</v>
      </c>
      <c r="Z21" s="244">
        <v>34.9</v>
      </c>
      <c r="AA21" s="244">
        <v>35.700000000000003</v>
      </c>
      <c r="AB21" s="244">
        <v>35.700000000000003</v>
      </c>
      <c r="AC21" s="244">
        <v>35.700000000000003</v>
      </c>
      <c r="AD21" s="244">
        <v>35.700000000000003</v>
      </c>
      <c r="AE21" s="244">
        <v>35.700000000000003</v>
      </c>
      <c r="AF21" s="244">
        <v>35.700000000000003</v>
      </c>
      <c r="AG21" s="244">
        <v>35.700000000000003</v>
      </c>
      <c r="AH21" s="244">
        <v>35.700000000000003</v>
      </c>
      <c r="AI21" s="244">
        <v>35.700000000000003</v>
      </c>
      <c r="AJ21" s="244">
        <v>35.700000000000003</v>
      </c>
      <c r="AK21" s="244">
        <v>36.700000000000003</v>
      </c>
      <c r="AL21" s="244">
        <v>37.700000000000003</v>
      </c>
      <c r="AM21" s="244">
        <v>38.700000000000003</v>
      </c>
      <c r="AN21" s="244">
        <v>39.700000000000003</v>
      </c>
      <c r="AO21" s="263" t="s">
        <v>299</v>
      </c>
    </row>
    <row r="22" spans="2:69" x14ac:dyDescent="0.35">
      <c r="B22" s="252"/>
      <c r="C22" s="253"/>
      <c r="D22" s="271"/>
      <c r="E22" s="241"/>
      <c r="F22" s="241"/>
      <c r="G22" s="241"/>
      <c r="H22" s="237"/>
      <c r="I22" s="237"/>
      <c r="J22" s="237"/>
      <c r="K22" s="237"/>
      <c r="L22" s="237"/>
      <c r="M22" s="237"/>
      <c r="N22" s="237"/>
      <c r="O22" s="237"/>
      <c r="P22" s="237"/>
      <c r="Q22" s="237"/>
      <c r="R22" s="237"/>
      <c r="S22" s="237"/>
      <c r="T22" s="255"/>
      <c r="U22" s="237"/>
      <c r="V22" s="237"/>
      <c r="W22" s="231"/>
      <c r="X22" s="231"/>
      <c r="Y22" s="231"/>
      <c r="Z22" s="231"/>
      <c r="AA22" s="231"/>
      <c r="AB22" s="231"/>
      <c r="AC22" s="231"/>
      <c r="AD22" s="231"/>
      <c r="AE22" s="231"/>
      <c r="AF22" s="231"/>
      <c r="AG22" s="231"/>
      <c r="AH22" s="231"/>
      <c r="AI22" s="225"/>
      <c r="AJ22" s="225"/>
      <c r="AK22" s="225"/>
      <c r="AL22" s="225"/>
      <c r="AM22" s="225"/>
      <c r="AN22" s="225"/>
    </row>
    <row r="23" spans="2:69" x14ac:dyDescent="0.35">
      <c r="B23" s="285" t="s">
        <v>1960</v>
      </c>
      <c r="C23" s="253"/>
      <c r="D23" s="241"/>
      <c r="E23" s="241"/>
      <c r="F23" s="241"/>
      <c r="G23" s="241"/>
      <c r="H23" s="237"/>
      <c r="I23" s="237"/>
      <c r="J23" s="237"/>
      <c r="K23" s="237"/>
      <c r="L23" s="237"/>
      <c r="M23" s="237">
        <v>6.2329999999999997</v>
      </c>
      <c r="N23" s="237">
        <v>5.9329999999999998</v>
      </c>
      <c r="O23" s="237">
        <v>5.0659999999999998</v>
      </c>
      <c r="P23" s="237">
        <v>4.1660000000000004</v>
      </c>
      <c r="Q23" s="237">
        <v>3.8</v>
      </c>
      <c r="R23" s="237">
        <v>3.633</v>
      </c>
      <c r="S23" s="237">
        <v>3.5329999999999999</v>
      </c>
      <c r="T23" s="255">
        <v>3.5659999999999998</v>
      </c>
      <c r="U23" s="234">
        <v>3.5</v>
      </c>
      <c r="V23" s="234">
        <v>3.5659999999999998</v>
      </c>
      <c r="W23" s="233">
        <v>3.7</v>
      </c>
      <c r="X23" s="233">
        <v>3.7330000000000001</v>
      </c>
      <c r="Y23" s="233">
        <v>3.8</v>
      </c>
      <c r="Z23" s="233">
        <v>3.8809999999999998</v>
      </c>
      <c r="AA23" s="233">
        <v>3.915</v>
      </c>
      <c r="AB23" s="233">
        <v>3.9319999999999999</v>
      </c>
      <c r="AC23" s="233">
        <v>3.9569999999999999</v>
      </c>
      <c r="AD23" s="233">
        <v>3.9569999999999999</v>
      </c>
      <c r="AE23" s="233">
        <v>3.9750000000000001</v>
      </c>
      <c r="AF23" s="233">
        <v>4.0039999999999996</v>
      </c>
      <c r="AG23" s="233">
        <v>4.0780000000000003</v>
      </c>
      <c r="AH23" s="233">
        <v>4.1369999999999996</v>
      </c>
      <c r="AI23" s="290">
        <v>4.1870000000000003</v>
      </c>
      <c r="AJ23" s="290">
        <v>4.2279999999999998</v>
      </c>
      <c r="AK23" s="290">
        <v>4.2699999999999996</v>
      </c>
      <c r="AL23" s="290">
        <v>4.3049999999999997</v>
      </c>
      <c r="AM23" s="290">
        <v>4.34</v>
      </c>
      <c r="AN23" s="290">
        <v>4.3719999999999999</v>
      </c>
      <c r="AO23" s="245">
        <v>4.399</v>
      </c>
      <c r="AP23" s="245">
        <v>4.4189999999999996</v>
      </c>
      <c r="AQ23" s="245">
        <v>4.4359999999999999</v>
      </c>
      <c r="AR23" s="245">
        <v>4.4489999999999998</v>
      </c>
      <c r="AS23" s="245">
        <v>4.4630000000000001</v>
      </c>
      <c r="AT23" s="245">
        <v>4.4710000000000001</v>
      </c>
      <c r="AU23" s="245">
        <v>4.476</v>
      </c>
      <c r="AV23" s="245">
        <v>4.4790000000000001</v>
      </c>
      <c r="AW23" s="245">
        <v>4.484</v>
      </c>
      <c r="AX23" s="245">
        <v>4.4850000000000003</v>
      </c>
      <c r="AY23" s="245">
        <v>4.484</v>
      </c>
      <c r="AZ23" s="245">
        <v>4.4829999999999997</v>
      </c>
      <c r="BA23" s="245">
        <v>4.4829999999999997</v>
      </c>
      <c r="BB23" s="245">
        <v>4.4809999999999999</v>
      </c>
      <c r="BC23" s="245">
        <v>4.4779999999999998</v>
      </c>
      <c r="BD23" s="245">
        <v>4.4749999999999996</v>
      </c>
      <c r="BE23" s="245">
        <v>4.4749999999999996</v>
      </c>
      <c r="BF23" s="245">
        <v>4.4710000000000001</v>
      </c>
      <c r="BG23" s="245">
        <v>4.4669999999999996</v>
      </c>
      <c r="BH23" s="245">
        <v>4.4619999999999997</v>
      </c>
      <c r="BI23" s="245">
        <v>4.4589999999999996</v>
      </c>
      <c r="BJ23" s="245">
        <v>4.4539999999999997</v>
      </c>
      <c r="BK23" s="245">
        <v>4.4480000000000004</v>
      </c>
      <c r="BL23" s="245">
        <v>4.4429999999999996</v>
      </c>
      <c r="BM23" s="245">
        <v>4.4379999999999997</v>
      </c>
      <c r="BN23" s="245">
        <v>4.4329999999999998</v>
      </c>
      <c r="BO23" s="245">
        <v>4.4279999999999999</v>
      </c>
      <c r="BP23" s="245">
        <v>4.4219999999999997</v>
      </c>
      <c r="BQ23" s="245">
        <v>4.4219999999999997</v>
      </c>
    </row>
    <row r="24" spans="2:69" x14ac:dyDescent="0.35">
      <c r="B24" s="252" t="s">
        <v>1822</v>
      </c>
      <c r="C24" s="245"/>
      <c r="D24" s="272"/>
      <c r="E24" s="229"/>
      <c r="F24" s="229"/>
      <c r="G24" s="229"/>
      <c r="H24" s="237"/>
      <c r="I24" s="237"/>
      <c r="J24" s="237"/>
      <c r="K24" s="237"/>
      <c r="L24" s="237"/>
      <c r="M24" s="237">
        <f t="shared" ref="M24:U24" si="27">GETPIVOTDATA("Monthly UR",$E$30,"Quarters",M25,"Years",M26)</f>
        <v>6.166666666666667</v>
      </c>
      <c r="N24" s="237">
        <f t="shared" si="27"/>
        <v>5.7666666666666657</v>
      </c>
      <c r="O24" s="237">
        <f t="shared" si="27"/>
        <v>5.1333333333333337</v>
      </c>
      <c r="P24" s="237">
        <f t="shared" si="27"/>
        <v>4.2333333333333334</v>
      </c>
      <c r="Q24" s="237">
        <f t="shared" si="27"/>
        <v>3.8000000000000003</v>
      </c>
      <c r="R24" s="237">
        <f t="shared" si="27"/>
        <v>3.6</v>
      </c>
      <c r="S24" s="237">
        <f t="shared" si="27"/>
        <v>3.5666666666666664</v>
      </c>
      <c r="T24" s="237">
        <f t="shared" si="27"/>
        <v>3.6</v>
      </c>
      <c r="U24" s="238">
        <f t="shared" si="27"/>
        <v>3.5</v>
      </c>
      <c r="V24" s="246">
        <v>3.6</v>
      </c>
      <c r="W24" s="246">
        <v>3.6</v>
      </c>
      <c r="X24" s="246">
        <f>V23</f>
        <v>3.5659999999999998</v>
      </c>
      <c r="Y24" s="246">
        <f t="shared" ref="Y24:AC24" si="28">W23</f>
        <v>3.7</v>
      </c>
      <c r="Z24" s="246">
        <f t="shared" si="28"/>
        <v>3.7330000000000001</v>
      </c>
      <c r="AA24" s="246">
        <f t="shared" si="28"/>
        <v>3.8</v>
      </c>
      <c r="AB24" s="246">
        <f t="shared" si="28"/>
        <v>3.8809999999999998</v>
      </c>
      <c r="AC24" s="246">
        <f t="shared" si="28"/>
        <v>3.915</v>
      </c>
      <c r="AD24" s="246">
        <f>AB23</f>
        <v>3.9319999999999999</v>
      </c>
      <c r="AE24" s="246">
        <f t="shared" ref="AE24:AN24" si="29">AE23</f>
        <v>3.9750000000000001</v>
      </c>
      <c r="AF24" s="246">
        <f t="shared" si="29"/>
        <v>4.0039999999999996</v>
      </c>
      <c r="AG24" s="246">
        <f t="shared" si="29"/>
        <v>4.0780000000000003</v>
      </c>
      <c r="AH24" s="246">
        <f t="shared" si="29"/>
        <v>4.1369999999999996</v>
      </c>
      <c r="AI24" s="246">
        <f t="shared" si="29"/>
        <v>4.1870000000000003</v>
      </c>
      <c r="AJ24" s="246">
        <f t="shared" si="29"/>
        <v>4.2279999999999998</v>
      </c>
      <c r="AK24" s="246">
        <f t="shared" si="29"/>
        <v>4.2699999999999996</v>
      </c>
      <c r="AL24" s="246">
        <f t="shared" si="29"/>
        <v>4.3049999999999997</v>
      </c>
      <c r="AM24" s="246">
        <f t="shared" si="29"/>
        <v>4.34</v>
      </c>
      <c r="AN24" s="246">
        <f t="shared" si="29"/>
        <v>4.3719999999999999</v>
      </c>
    </row>
    <row r="25" spans="2:69" ht="15.75" customHeight="1" x14ac:dyDescent="0.35">
      <c r="B25" s="247" t="s">
        <v>1815</v>
      </c>
      <c r="C25" s="248"/>
      <c r="D25" s="249"/>
      <c r="E25" s="249"/>
      <c r="F25" s="249"/>
      <c r="G25" s="249"/>
      <c r="H25" s="249"/>
      <c r="I25" s="249"/>
      <c r="J25" s="249"/>
      <c r="K25" s="249"/>
      <c r="L25" s="249"/>
      <c r="M25" s="249">
        <v>1</v>
      </c>
      <c r="N25" s="249">
        <v>2</v>
      </c>
      <c r="O25" s="249">
        <v>3</v>
      </c>
      <c r="P25" s="249">
        <v>4</v>
      </c>
      <c r="Q25" s="249">
        <v>1</v>
      </c>
      <c r="R25" s="249">
        <v>2</v>
      </c>
      <c r="S25" s="249">
        <v>3</v>
      </c>
      <c r="T25" s="249">
        <v>4</v>
      </c>
      <c r="U25" s="249">
        <v>1</v>
      </c>
      <c r="V25" s="249">
        <v>2</v>
      </c>
      <c r="W25" s="249">
        <v>3</v>
      </c>
      <c r="X25" s="249">
        <v>4</v>
      </c>
      <c r="Y25" s="249">
        <v>1</v>
      </c>
      <c r="Z25" s="249">
        <v>2</v>
      </c>
      <c r="AA25" s="249">
        <v>3</v>
      </c>
      <c r="AB25" s="249">
        <v>4</v>
      </c>
      <c r="AC25" s="249">
        <v>1</v>
      </c>
      <c r="AD25" s="249">
        <v>2</v>
      </c>
      <c r="AE25" s="249">
        <v>3</v>
      </c>
      <c r="AF25" s="249">
        <v>4</v>
      </c>
      <c r="AG25" s="249">
        <v>1</v>
      </c>
      <c r="AH25" s="249">
        <v>2</v>
      </c>
      <c r="AI25" s="249">
        <v>3</v>
      </c>
      <c r="AJ25" s="249">
        <v>4</v>
      </c>
      <c r="AK25" s="249">
        <v>1</v>
      </c>
      <c r="AL25" s="249">
        <v>2</v>
      </c>
      <c r="AM25" s="249">
        <v>3</v>
      </c>
      <c r="AN25" s="249">
        <v>4</v>
      </c>
    </row>
    <row r="26" spans="2:69" x14ac:dyDescent="0.35">
      <c r="B26" s="259" t="s">
        <v>1816</v>
      </c>
      <c r="C26" s="260"/>
      <c r="D26" s="261"/>
      <c r="E26" s="261"/>
      <c r="F26" s="261"/>
      <c r="G26" s="261"/>
      <c r="H26" s="261"/>
      <c r="I26" s="261"/>
      <c r="J26" s="261"/>
      <c r="K26" s="261"/>
      <c r="L26" s="261"/>
      <c r="M26" s="261">
        <v>2021</v>
      </c>
      <c r="N26" s="261">
        <v>2021</v>
      </c>
      <c r="O26" s="261">
        <v>2021</v>
      </c>
      <c r="P26" s="261">
        <v>2021</v>
      </c>
      <c r="Q26" s="261">
        <v>2022</v>
      </c>
      <c r="R26" s="261">
        <v>2022</v>
      </c>
      <c r="S26" s="261">
        <v>2022</v>
      </c>
      <c r="T26" s="261">
        <v>2022</v>
      </c>
      <c r="U26" s="261">
        <v>2023</v>
      </c>
      <c r="V26" s="261">
        <v>2023</v>
      </c>
      <c r="W26" s="261">
        <v>2023</v>
      </c>
      <c r="X26" s="261">
        <v>2023</v>
      </c>
      <c r="Y26" s="261">
        <v>2024</v>
      </c>
      <c r="Z26" s="261">
        <v>2024</v>
      </c>
      <c r="AA26" s="261">
        <v>2024</v>
      </c>
      <c r="AB26" s="261">
        <v>2024</v>
      </c>
      <c r="AC26" s="261">
        <v>2025</v>
      </c>
      <c r="AD26" s="261">
        <v>2025</v>
      </c>
      <c r="AE26" s="261">
        <v>2025</v>
      </c>
      <c r="AF26" s="261">
        <v>2025</v>
      </c>
      <c r="AG26" s="261">
        <v>2026</v>
      </c>
      <c r="AH26" s="261">
        <v>2026</v>
      </c>
      <c r="AI26" s="261">
        <v>2026</v>
      </c>
      <c r="AJ26" s="261">
        <v>2026</v>
      </c>
      <c r="AK26" s="261">
        <v>2027</v>
      </c>
      <c r="AL26" s="261">
        <v>2027</v>
      </c>
      <c r="AM26" s="261">
        <v>2027</v>
      </c>
      <c r="AN26" s="261">
        <v>2027</v>
      </c>
    </row>
    <row r="27" spans="2:69" x14ac:dyDescent="0.35">
      <c r="B27" s="56"/>
      <c r="C27" s="245"/>
      <c r="D27" s="229"/>
      <c r="E27" s="229"/>
      <c r="F27" s="229"/>
      <c r="G27" s="229"/>
      <c r="H27" s="229"/>
      <c r="I27" s="229"/>
      <c r="J27" s="229"/>
      <c r="K27" s="229"/>
      <c r="L27" s="229"/>
      <c r="M27" s="229"/>
      <c r="N27" s="229"/>
      <c r="O27" s="229"/>
      <c r="P27" s="229"/>
      <c r="Q27" s="229"/>
      <c r="R27" s="229"/>
      <c r="S27" s="229"/>
      <c r="T27" s="229"/>
      <c r="U27" s="229"/>
      <c r="V27" s="229"/>
      <c r="W27" s="229"/>
      <c r="X27" s="229"/>
      <c r="Y27" s="229"/>
      <c r="Z27" s="229"/>
      <c r="AA27" s="229"/>
      <c r="AB27" s="229"/>
      <c r="AC27" s="229"/>
      <c r="AD27" s="229"/>
      <c r="AE27" s="229"/>
      <c r="AF27" s="229"/>
      <c r="AG27" s="229"/>
      <c r="AH27" s="229"/>
      <c r="AI27" s="234"/>
    </row>
    <row r="28" spans="2:69" x14ac:dyDescent="0.35">
      <c r="C28" s="245"/>
      <c r="D28" s="229"/>
      <c r="E28" s="229"/>
      <c r="F28" s="229"/>
      <c r="G28" s="229"/>
      <c r="H28" s="237"/>
      <c r="I28" s="237"/>
      <c r="J28" s="237"/>
      <c r="K28" s="237"/>
      <c r="L28" s="237"/>
      <c r="M28" s="237"/>
      <c r="N28" s="237"/>
      <c r="O28" s="237"/>
      <c r="P28" s="237"/>
      <c r="AI28" s="234"/>
    </row>
    <row r="29" spans="2:69" x14ac:dyDescent="0.35">
      <c r="M29" s="245"/>
      <c r="N29" s="245"/>
      <c r="O29" s="245"/>
    </row>
    <row r="30" spans="2:69" ht="45" customHeight="1" x14ac:dyDescent="0.35">
      <c r="B30" s="278" t="s">
        <v>301</v>
      </c>
      <c r="C30" s="279" t="s">
        <v>302</v>
      </c>
      <c r="D30" s="276"/>
      <c r="E30" s="14" t="s">
        <v>1805</v>
      </c>
      <c r="F30" s="14" t="s">
        <v>1810</v>
      </c>
      <c r="G30" s="14"/>
      <c r="H30" s="14"/>
      <c r="I30" s="14"/>
      <c r="J30" s="14"/>
      <c r="O30" s="280"/>
    </row>
    <row r="31" spans="2:69" x14ac:dyDescent="0.35">
      <c r="B31" s="273">
        <v>44197</v>
      </c>
      <c r="C31" s="235">
        <v>6.3</v>
      </c>
      <c r="D31" s="277"/>
      <c r="E31" s="43" t="s">
        <v>1740</v>
      </c>
      <c r="F31" s="56"/>
      <c r="G31" s="56"/>
      <c r="H31" s="75"/>
      <c r="I31" s="56"/>
      <c r="J31" s="75"/>
      <c r="O31" s="245"/>
    </row>
    <row r="32" spans="2:69" x14ac:dyDescent="0.35">
      <c r="B32" s="273">
        <v>44228</v>
      </c>
      <c r="C32" s="235">
        <v>6.2</v>
      </c>
      <c r="D32" s="277"/>
      <c r="E32" s="119" t="s">
        <v>1806</v>
      </c>
      <c r="F32" s="291">
        <v>6.166666666666667</v>
      </c>
      <c r="G32" s="56"/>
      <c r="H32" s="75"/>
      <c r="I32" s="56"/>
      <c r="J32" s="75"/>
      <c r="O32" s="245"/>
    </row>
    <row r="33" spans="1:43" x14ac:dyDescent="0.35">
      <c r="B33" s="273">
        <v>44256</v>
      </c>
      <c r="C33" s="235">
        <v>6</v>
      </c>
      <c r="D33" s="277"/>
      <c r="E33" s="119" t="s">
        <v>1807</v>
      </c>
      <c r="F33" s="291">
        <v>5.7666666666666657</v>
      </c>
      <c r="G33" s="56"/>
      <c r="H33" s="75"/>
      <c r="I33" s="56"/>
      <c r="J33" s="75"/>
      <c r="O33" s="245"/>
    </row>
    <row r="34" spans="1:43" x14ac:dyDescent="0.35">
      <c r="B34" s="273">
        <v>44287</v>
      </c>
      <c r="C34" s="235">
        <v>6.1</v>
      </c>
      <c r="D34" s="277"/>
      <c r="E34" s="119" t="s">
        <v>1808</v>
      </c>
      <c r="F34" s="291">
        <v>5.1333333333333337</v>
      </c>
      <c r="G34" s="56"/>
      <c r="H34" s="75"/>
      <c r="I34" s="56"/>
      <c r="J34" s="75"/>
      <c r="O34" s="245"/>
    </row>
    <row r="35" spans="1:43" x14ac:dyDescent="0.35">
      <c r="A35" s="56"/>
      <c r="B35" s="273">
        <v>44317</v>
      </c>
      <c r="C35" s="235">
        <v>5.8</v>
      </c>
      <c r="D35" s="277"/>
      <c r="E35" s="119" t="s">
        <v>1809</v>
      </c>
      <c r="F35" s="291">
        <v>4.2333333333333334</v>
      </c>
      <c r="G35" s="56"/>
      <c r="H35" s="75"/>
      <c r="I35" s="56"/>
      <c r="J35" s="75"/>
      <c r="O35" s="245"/>
    </row>
    <row r="36" spans="1:43" x14ac:dyDescent="0.35">
      <c r="A36" s="56"/>
      <c r="B36" s="273">
        <v>44348</v>
      </c>
      <c r="C36" s="235">
        <v>5.4</v>
      </c>
      <c r="D36" s="277"/>
      <c r="E36" s="43" t="s">
        <v>1729</v>
      </c>
      <c r="F36" s="291"/>
      <c r="G36" s="56"/>
      <c r="H36" s="75"/>
      <c r="I36" s="56"/>
      <c r="J36" s="75"/>
      <c r="O36" s="245"/>
    </row>
    <row r="37" spans="1:43" x14ac:dyDescent="0.35">
      <c r="A37" s="56"/>
      <c r="B37" s="273">
        <v>44378</v>
      </c>
      <c r="C37" s="235">
        <v>5.4</v>
      </c>
      <c r="D37" s="277"/>
      <c r="E37" s="119" t="s">
        <v>1806</v>
      </c>
      <c r="F37" s="291">
        <v>3.8000000000000003</v>
      </c>
      <c r="G37" s="56"/>
      <c r="H37" s="75"/>
      <c r="I37" s="56"/>
      <c r="J37" s="75"/>
      <c r="O37" s="245"/>
    </row>
    <row r="38" spans="1:43" x14ac:dyDescent="0.35">
      <c r="A38" s="56"/>
      <c r="B38" s="273">
        <v>44409</v>
      </c>
      <c r="C38" s="235">
        <v>5.2</v>
      </c>
      <c r="D38" s="277"/>
      <c r="E38" s="119" t="s">
        <v>1807</v>
      </c>
      <c r="F38" s="291">
        <v>3.6</v>
      </c>
      <c r="G38" s="56"/>
      <c r="H38" s="75"/>
      <c r="I38" s="56"/>
      <c r="J38" s="75"/>
      <c r="O38" s="245"/>
    </row>
    <row r="39" spans="1:43" x14ac:dyDescent="0.35">
      <c r="A39" s="56"/>
      <c r="B39" s="273">
        <v>44440</v>
      </c>
      <c r="C39" s="235">
        <v>4.8</v>
      </c>
      <c r="D39" s="277"/>
      <c r="E39" s="119" t="s">
        <v>1808</v>
      </c>
      <c r="F39" s="291">
        <v>3.5666666666666664</v>
      </c>
      <c r="G39" s="56"/>
      <c r="H39" s="75"/>
      <c r="I39" s="56"/>
      <c r="J39" s="75"/>
      <c r="O39" s="245"/>
    </row>
    <row r="40" spans="1:43" x14ac:dyDescent="0.35">
      <c r="A40" s="56"/>
      <c r="B40" s="273">
        <v>44470</v>
      </c>
      <c r="C40" s="235">
        <v>4.5999999999999996</v>
      </c>
      <c r="D40" s="277"/>
      <c r="E40" s="119" t="s">
        <v>1809</v>
      </c>
      <c r="F40" s="291">
        <v>3.6</v>
      </c>
      <c r="G40" s="56"/>
      <c r="H40" s="75"/>
      <c r="I40" s="56"/>
      <c r="J40" s="75"/>
      <c r="O40" s="245"/>
    </row>
    <row r="41" spans="1:43" x14ac:dyDescent="0.35">
      <c r="A41" s="56"/>
      <c r="B41" s="273">
        <v>44501</v>
      </c>
      <c r="C41" s="235">
        <v>4.2</v>
      </c>
      <c r="D41" s="277"/>
      <c r="E41" s="43" t="s">
        <v>1811</v>
      </c>
      <c r="F41" s="291"/>
      <c r="G41" s="56"/>
      <c r="H41" s="75"/>
      <c r="I41" s="56"/>
      <c r="J41" s="75"/>
      <c r="O41" s="245"/>
      <c r="AI41" s="245"/>
      <c r="AJ41" s="245"/>
      <c r="AK41" s="245"/>
      <c r="AL41" s="245"/>
      <c r="AM41" s="245"/>
      <c r="AN41" s="245"/>
      <c r="AO41" s="245"/>
      <c r="AP41" s="245"/>
      <c r="AQ41" s="245"/>
    </row>
    <row r="42" spans="1:43" x14ac:dyDescent="0.35">
      <c r="A42" s="56"/>
      <c r="B42" s="273">
        <v>44531</v>
      </c>
      <c r="C42" s="235">
        <v>3.9</v>
      </c>
      <c r="D42" s="277"/>
      <c r="E42" s="119" t="s">
        <v>1806</v>
      </c>
      <c r="F42" s="291">
        <v>3.5</v>
      </c>
      <c r="G42" s="56"/>
      <c r="H42" s="75"/>
      <c r="I42" s="56"/>
      <c r="J42" s="75"/>
      <c r="O42" s="245"/>
      <c r="AI42" s="245"/>
      <c r="AJ42" s="245"/>
      <c r="AK42" s="245"/>
      <c r="AL42" s="245"/>
      <c r="AM42" s="245"/>
      <c r="AN42" s="245"/>
      <c r="AO42" s="245"/>
      <c r="AP42" s="245"/>
      <c r="AQ42" s="245"/>
    </row>
    <row r="43" spans="1:43" x14ac:dyDescent="0.35">
      <c r="A43" s="56"/>
      <c r="B43" s="273">
        <v>44562</v>
      </c>
      <c r="C43" s="235">
        <v>4</v>
      </c>
      <c r="D43" s="56"/>
      <c r="E43" s="119" t="s">
        <v>1807</v>
      </c>
      <c r="F43" s="291"/>
      <c r="G43" s="56"/>
      <c r="H43" s="75"/>
      <c r="I43" s="56"/>
      <c r="J43" s="75"/>
      <c r="O43" s="245"/>
    </row>
    <row r="44" spans="1:43" x14ac:dyDescent="0.35">
      <c r="A44" s="56"/>
      <c r="B44" s="273">
        <v>44593</v>
      </c>
      <c r="C44" s="235">
        <v>3.8</v>
      </c>
      <c r="D44" s="56"/>
      <c r="E44" s="119" t="s">
        <v>1808</v>
      </c>
      <c r="F44" s="291"/>
      <c r="G44" s="56"/>
      <c r="H44" s="75"/>
      <c r="I44" s="56"/>
      <c r="J44" s="75"/>
    </row>
    <row r="45" spans="1:43" x14ac:dyDescent="0.35">
      <c r="A45" s="56"/>
      <c r="B45" s="273">
        <v>44621</v>
      </c>
      <c r="C45" s="235">
        <v>3.6</v>
      </c>
      <c r="D45" s="56"/>
      <c r="E45" s="119" t="s">
        <v>1809</v>
      </c>
      <c r="F45" s="291"/>
      <c r="G45" s="56"/>
      <c r="H45" s="75"/>
      <c r="I45" s="56"/>
      <c r="J45" s="75"/>
    </row>
    <row r="46" spans="1:43" x14ac:dyDescent="0.35">
      <c r="A46" s="56"/>
      <c r="B46" s="273">
        <v>44652</v>
      </c>
      <c r="C46" s="235">
        <v>3.6</v>
      </c>
      <c r="D46" s="56"/>
      <c r="E46" s="43" t="s">
        <v>1812</v>
      </c>
      <c r="F46" s="291"/>
      <c r="G46" s="56"/>
      <c r="H46" s="75"/>
      <c r="I46" s="56"/>
      <c r="J46" s="75"/>
    </row>
    <row r="47" spans="1:43" x14ac:dyDescent="0.35">
      <c r="A47" s="56"/>
      <c r="B47" s="273">
        <v>44682</v>
      </c>
      <c r="C47" s="235">
        <v>3.6</v>
      </c>
      <c r="D47" s="56"/>
      <c r="E47" s="119" t="s">
        <v>1806</v>
      </c>
      <c r="F47" s="291"/>
      <c r="G47" s="56"/>
      <c r="H47" s="75"/>
      <c r="I47" s="56"/>
      <c r="J47" s="75"/>
    </row>
    <row r="48" spans="1:43" x14ac:dyDescent="0.35">
      <c r="A48" s="56"/>
      <c r="B48" s="273">
        <v>44713</v>
      </c>
      <c r="C48" s="235">
        <v>3.6</v>
      </c>
      <c r="D48" s="56"/>
      <c r="E48" s="119" t="s">
        <v>1807</v>
      </c>
      <c r="F48" s="291"/>
      <c r="G48" s="56"/>
      <c r="H48" s="75"/>
      <c r="I48" s="56"/>
      <c r="J48" s="75"/>
    </row>
    <row r="49" spans="1:10" x14ac:dyDescent="0.35">
      <c r="A49" s="56"/>
      <c r="B49" s="273">
        <v>44743</v>
      </c>
      <c r="C49" s="235">
        <v>3.5</v>
      </c>
      <c r="D49" s="56"/>
      <c r="E49" s="119" t="s">
        <v>1808</v>
      </c>
      <c r="F49" s="291"/>
      <c r="G49" s="56"/>
      <c r="H49" s="75"/>
      <c r="I49" s="56"/>
      <c r="J49" s="75"/>
    </row>
    <row r="50" spans="1:10" x14ac:dyDescent="0.35">
      <c r="A50" s="56"/>
      <c r="B50" s="273">
        <v>44774</v>
      </c>
      <c r="C50" s="235">
        <v>3.7</v>
      </c>
      <c r="D50" s="56"/>
      <c r="E50" s="119" t="s">
        <v>1809</v>
      </c>
      <c r="F50" s="291"/>
      <c r="G50" s="56"/>
      <c r="H50" s="75"/>
      <c r="I50" s="56"/>
      <c r="J50" s="75"/>
    </row>
    <row r="51" spans="1:10" x14ac:dyDescent="0.35">
      <c r="A51" s="56"/>
      <c r="B51" s="273">
        <v>44805</v>
      </c>
      <c r="C51" s="235">
        <v>3.5</v>
      </c>
      <c r="D51" s="56"/>
      <c r="E51" s="43" t="s">
        <v>1813</v>
      </c>
      <c r="F51" s="291"/>
      <c r="G51" s="56"/>
      <c r="H51" s="56"/>
      <c r="I51" s="56"/>
      <c r="J51" s="56"/>
    </row>
    <row r="52" spans="1:10" x14ac:dyDescent="0.35">
      <c r="A52" s="56"/>
      <c r="B52" s="273">
        <v>44835</v>
      </c>
      <c r="C52" s="235">
        <v>3.7</v>
      </c>
      <c r="D52" s="56"/>
      <c r="E52" s="119" t="s">
        <v>1806</v>
      </c>
      <c r="F52" s="291"/>
      <c r="G52" s="56"/>
      <c r="H52" s="56"/>
      <c r="I52" s="56"/>
      <c r="J52" s="56"/>
    </row>
    <row r="53" spans="1:10" x14ac:dyDescent="0.35">
      <c r="A53" s="56"/>
      <c r="B53" s="273">
        <v>44866</v>
      </c>
      <c r="C53" s="235">
        <v>3.6</v>
      </c>
      <c r="D53" s="56"/>
      <c r="E53" s="119" t="s">
        <v>1807</v>
      </c>
      <c r="F53" s="291"/>
      <c r="G53" s="56"/>
      <c r="H53" s="56"/>
      <c r="I53" s="56"/>
      <c r="J53" s="56"/>
    </row>
    <row r="54" spans="1:10" x14ac:dyDescent="0.35">
      <c r="A54" s="56"/>
      <c r="B54" s="273">
        <v>44896</v>
      </c>
      <c r="C54" s="235">
        <v>3.5</v>
      </c>
      <c r="D54" s="56"/>
      <c r="E54" s="119" t="s">
        <v>1808</v>
      </c>
      <c r="F54" s="291"/>
      <c r="G54" s="56"/>
      <c r="H54" s="56"/>
      <c r="I54" s="56"/>
      <c r="J54" s="56"/>
    </row>
    <row r="55" spans="1:10" x14ac:dyDescent="0.35">
      <c r="B55" s="273">
        <v>44927</v>
      </c>
      <c r="C55" s="235">
        <v>3.4</v>
      </c>
      <c r="D55" s="56"/>
      <c r="E55" s="119" t="s">
        <v>1809</v>
      </c>
      <c r="F55" s="291"/>
      <c r="G55" s="56"/>
      <c r="H55" s="56"/>
      <c r="I55" s="56"/>
      <c r="J55" s="56"/>
    </row>
    <row r="56" spans="1:10" x14ac:dyDescent="0.35">
      <c r="B56" s="273">
        <v>44958</v>
      </c>
      <c r="C56" s="235">
        <v>3.6</v>
      </c>
      <c r="D56" s="56"/>
      <c r="E56" s="43" t="s">
        <v>1814</v>
      </c>
      <c r="F56" s="291"/>
      <c r="G56" s="56"/>
      <c r="H56" s="56"/>
      <c r="I56" s="56"/>
      <c r="J56" s="56"/>
    </row>
    <row r="57" spans="1:10" x14ac:dyDescent="0.35">
      <c r="B57" s="273">
        <v>44986</v>
      </c>
      <c r="C57" s="235">
        <v>3.5</v>
      </c>
      <c r="D57" s="56"/>
      <c r="E57" s="119" t="s">
        <v>1806</v>
      </c>
      <c r="F57" s="291"/>
      <c r="G57" s="56"/>
      <c r="H57" s="56"/>
      <c r="I57" s="56"/>
      <c r="J57" s="56"/>
    </row>
    <row r="58" spans="1:10" x14ac:dyDescent="0.35">
      <c r="B58" s="273">
        <v>45017</v>
      </c>
      <c r="C58" s="235"/>
      <c r="D58" s="56"/>
      <c r="E58" s="119" t="s">
        <v>1807</v>
      </c>
      <c r="F58" s="291"/>
      <c r="G58" s="56"/>
      <c r="H58" s="56"/>
      <c r="I58" s="56"/>
      <c r="J58" s="56"/>
    </row>
    <row r="59" spans="1:10" x14ac:dyDescent="0.35">
      <c r="B59" s="273">
        <v>45047</v>
      </c>
      <c r="C59" s="235"/>
      <c r="D59" s="56"/>
      <c r="E59" s="119" t="s">
        <v>1808</v>
      </c>
      <c r="F59" s="291"/>
      <c r="G59" s="56"/>
      <c r="H59" s="56"/>
      <c r="I59" s="56"/>
      <c r="J59" s="56"/>
    </row>
    <row r="60" spans="1:10" x14ac:dyDescent="0.35">
      <c r="B60" s="273">
        <v>45078</v>
      </c>
      <c r="C60" s="235"/>
      <c r="D60" s="56"/>
      <c r="E60" s="119" t="s">
        <v>1809</v>
      </c>
      <c r="F60" s="291"/>
      <c r="G60" s="56"/>
      <c r="H60" s="56"/>
      <c r="I60" s="56"/>
      <c r="J60" s="56"/>
    </row>
    <row r="61" spans="1:10" x14ac:dyDescent="0.35">
      <c r="B61" s="273">
        <v>45108</v>
      </c>
      <c r="C61" s="235"/>
      <c r="D61" s="56"/>
      <c r="E61" s="56"/>
      <c r="F61" s="56"/>
      <c r="G61" s="56"/>
      <c r="H61" s="56"/>
      <c r="I61" s="56"/>
      <c r="J61" s="56"/>
    </row>
    <row r="62" spans="1:10" x14ac:dyDescent="0.35">
      <c r="B62" s="273">
        <v>45139</v>
      </c>
      <c r="C62" s="235"/>
      <c r="D62" s="56"/>
      <c r="E62" s="56"/>
      <c r="F62" s="56"/>
      <c r="G62" s="56"/>
      <c r="H62" s="56"/>
      <c r="I62" s="56"/>
      <c r="J62" s="56"/>
    </row>
    <row r="63" spans="1:10" x14ac:dyDescent="0.35">
      <c r="B63" s="273">
        <v>45170</v>
      </c>
      <c r="C63" s="235"/>
      <c r="D63" s="56"/>
      <c r="E63" s="56"/>
      <c r="F63" s="56"/>
      <c r="G63" s="56"/>
      <c r="H63" s="56"/>
      <c r="I63" s="56"/>
      <c r="J63" s="56"/>
    </row>
    <row r="64" spans="1:10" x14ac:dyDescent="0.35">
      <c r="B64" s="273">
        <v>45200</v>
      </c>
      <c r="C64" s="235"/>
      <c r="D64" s="56"/>
      <c r="E64" s="56"/>
      <c r="F64" s="56"/>
      <c r="G64" s="56"/>
      <c r="H64" s="56"/>
      <c r="I64" s="56"/>
      <c r="J64" s="56"/>
    </row>
    <row r="65" spans="2:10" x14ac:dyDescent="0.35">
      <c r="B65" s="273">
        <v>45231</v>
      </c>
      <c r="C65" s="235"/>
      <c r="D65" s="56"/>
      <c r="E65" s="56"/>
      <c r="F65" s="56"/>
      <c r="G65" s="56"/>
      <c r="H65" s="56"/>
      <c r="I65" s="56"/>
      <c r="J65" s="56"/>
    </row>
    <row r="66" spans="2:10" x14ac:dyDescent="0.35">
      <c r="B66" s="273">
        <v>45261</v>
      </c>
      <c r="C66" s="235"/>
      <c r="D66" s="56"/>
      <c r="E66" s="56"/>
      <c r="F66" s="56"/>
      <c r="G66" s="56"/>
      <c r="H66" s="56"/>
      <c r="I66" s="56"/>
      <c r="J66" s="56"/>
    </row>
    <row r="67" spans="2:10" x14ac:dyDescent="0.35">
      <c r="B67" s="273">
        <v>45292</v>
      </c>
      <c r="C67" s="235"/>
      <c r="D67" s="56"/>
      <c r="E67" s="56"/>
      <c r="F67" s="56"/>
      <c r="G67" s="56"/>
      <c r="H67" s="56"/>
      <c r="I67" s="56"/>
      <c r="J67" s="56"/>
    </row>
    <row r="68" spans="2:10" x14ac:dyDescent="0.35">
      <c r="B68" s="273">
        <v>45323</v>
      </c>
      <c r="C68" s="235"/>
      <c r="D68" s="56"/>
      <c r="E68" s="56"/>
      <c r="F68" s="56"/>
      <c r="G68" s="56"/>
      <c r="H68" s="56"/>
      <c r="I68" s="56"/>
      <c r="J68" s="56"/>
    </row>
    <row r="69" spans="2:10" x14ac:dyDescent="0.35">
      <c r="B69" s="273">
        <v>45352</v>
      </c>
      <c r="C69" s="235"/>
      <c r="D69" s="56"/>
      <c r="E69" s="56"/>
      <c r="F69" s="56"/>
      <c r="G69" s="56"/>
      <c r="H69" s="56"/>
      <c r="I69" s="56"/>
      <c r="J69" s="56"/>
    </row>
    <row r="70" spans="2:10" x14ac:dyDescent="0.35">
      <c r="B70" s="273">
        <v>45383</v>
      </c>
      <c r="C70" s="235"/>
      <c r="D70" s="56"/>
      <c r="E70" s="56"/>
      <c r="F70" s="56"/>
      <c r="G70" s="56"/>
      <c r="H70" s="56"/>
      <c r="I70" s="56"/>
      <c r="J70" s="56"/>
    </row>
    <row r="71" spans="2:10" x14ac:dyDescent="0.35">
      <c r="B71" s="273">
        <v>45413</v>
      </c>
      <c r="C71" s="235"/>
      <c r="D71" s="56"/>
      <c r="E71" s="56"/>
      <c r="F71" s="56"/>
      <c r="G71" s="56"/>
      <c r="H71" s="56"/>
      <c r="I71" s="56"/>
      <c r="J71" s="56"/>
    </row>
    <row r="72" spans="2:10" x14ac:dyDescent="0.35">
      <c r="B72" s="273">
        <v>45444</v>
      </c>
      <c r="C72" s="235"/>
      <c r="D72" s="56"/>
      <c r="E72" s="56"/>
      <c r="F72" s="56"/>
      <c r="G72" s="56"/>
      <c r="H72" s="56"/>
      <c r="I72" s="56"/>
      <c r="J72" s="56"/>
    </row>
    <row r="73" spans="2:10" x14ac:dyDescent="0.35">
      <c r="B73" s="273">
        <v>45474</v>
      </c>
      <c r="C73" s="235"/>
      <c r="D73" s="56"/>
      <c r="E73" s="56"/>
      <c r="F73" s="56"/>
      <c r="G73" s="56"/>
      <c r="H73" s="56"/>
      <c r="I73" s="56"/>
      <c r="J73" s="56"/>
    </row>
    <row r="74" spans="2:10" x14ac:dyDescent="0.35">
      <c r="B74" s="273">
        <v>45505</v>
      </c>
      <c r="C74" s="235"/>
      <c r="D74" s="56"/>
      <c r="E74" s="56"/>
      <c r="F74" s="56"/>
      <c r="G74" s="56"/>
      <c r="H74" s="56"/>
      <c r="I74" s="56"/>
      <c r="J74" s="56"/>
    </row>
    <row r="75" spans="2:10" x14ac:dyDescent="0.35">
      <c r="B75" s="273">
        <v>45536</v>
      </c>
      <c r="C75" s="235"/>
      <c r="D75" s="56"/>
      <c r="E75" s="56"/>
      <c r="F75" s="56"/>
      <c r="G75" s="56"/>
      <c r="H75" s="56"/>
      <c r="I75" s="56"/>
      <c r="J75" s="56"/>
    </row>
    <row r="76" spans="2:10" x14ac:dyDescent="0.35">
      <c r="B76" s="273">
        <v>45566</v>
      </c>
      <c r="C76" s="235"/>
      <c r="D76" s="56"/>
      <c r="E76" s="56"/>
      <c r="F76" s="56"/>
      <c r="G76" s="56"/>
      <c r="H76" s="56"/>
      <c r="I76" s="56"/>
      <c r="J76" s="56"/>
    </row>
    <row r="77" spans="2:10" x14ac:dyDescent="0.35">
      <c r="B77" s="273">
        <v>45597</v>
      </c>
      <c r="C77" s="235"/>
      <c r="D77" s="56"/>
      <c r="E77" s="56"/>
      <c r="F77" s="56"/>
      <c r="G77" s="56"/>
      <c r="H77" s="56"/>
      <c r="I77" s="56"/>
      <c r="J77" s="56"/>
    </row>
    <row r="78" spans="2:10" x14ac:dyDescent="0.35">
      <c r="B78" s="273">
        <v>45627</v>
      </c>
      <c r="C78" s="235"/>
      <c r="D78" s="56"/>
      <c r="E78" s="56"/>
      <c r="F78" s="56"/>
      <c r="G78" s="56"/>
      <c r="H78" s="56"/>
      <c r="I78" s="56"/>
      <c r="J78" s="56"/>
    </row>
    <row r="79" spans="2:10" x14ac:dyDescent="0.35">
      <c r="B79" s="273">
        <v>45658</v>
      </c>
      <c r="C79" s="235"/>
      <c r="D79" s="56"/>
      <c r="E79" s="56"/>
      <c r="F79" s="56"/>
      <c r="G79" s="56"/>
      <c r="H79" s="56"/>
      <c r="I79" s="56"/>
      <c r="J79" s="56"/>
    </row>
    <row r="80" spans="2:10" x14ac:dyDescent="0.35">
      <c r="B80" s="273">
        <v>45689</v>
      </c>
      <c r="C80" s="235"/>
      <c r="D80" s="56"/>
      <c r="E80" s="56"/>
      <c r="F80" s="56"/>
      <c r="G80" s="56"/>
      <c r="H80" s="56"/>
      <c r="I80" s="56"/>
      <c r="J80" s="56"/>
    </row>
    <row r="81" spans="2:10" x14ac:dyDescent="0.35">
      <c r="B81" s="273">
        <v>45717</v>
      </c>
      <c r="C81" s="235"/>
      <c r="D81" s="56"/>
      <c r="E81" s="56"/>
      <c r="F81" s="56"/>
      <c r="G81" s="56"/>
      <c r="H81" s="56"/>
      <c r="I81" s="56"/>
      <c r="J81" s="56"/>
    </row>
    <row r="82" spans="2:10" x14ac:dyDescent="0.35">
      <c r="B82" s="273">
        <v>45748</v>
      </c>
      <c r="C82" s="235"/>
      <c r="D82" s="56"/>
      <c r="E82" s="56"/>
      <c r="F82" s="56"/>
      <c r="G82" s="56"/>
      <c r="H82" s="56"/>
      <c r="I82" s="56"/>
      <c r="J82" s="56"/>
    </row>
    <row r="83" spans="2:10" x14ac:dyDescent="0.35">
      <c r="B83" s="273">
        <v>45778</v>
      </c>
      <c r="C83" s="235"/>
      <c r="D83" s="56"/>
      <c r="E83" s="56"/>
      <c r="F83" s="56"/>
      <c r="G83" s="56"/>
      <c r="H83" s="56"/>
      <c r="I83" s="56"/>
      <c r="J83" s="56"/>
    </row>
    <row r="84" spans="2:10" x14ac:dyDescent="0.35">
      <c r="B84" s="273">
        <v>45809</v>
      </c>
      <c r="C84" s="235"/>
      <c r="D84" s="56"/>
      <c r="E84" s="56"/>
      <c r="F84" s="56"/>
      <c r="G84" s="56"/>
      <c r="H84" s="56"/>
      <c r="I84" s="56"/>
      <c r="J84" s="56"/>
    </row>
    <row r="85" spans="2:10" x14ac:dyDescent="0.35">
      <c r="B85" s="273">
        <v>45839</v>
      </c>
      <c r="C85" s="235"/>
      <c r="D85" s="56"/>
      <c r="E85" s="56"/>
      <c r="F85" s="56"/>
      <c r="G85" s="56"/>
      <c r="H85" s="56"/>
      <c r="I85" s="56"/>
      <c r="J85" s="56"/>
    </row>
    <row r="86" spans="2:10" x14ac:dyDescent="0.35">
      <c r="B86" s="273">
        <v>45870</v>
      </c>
      <c r="C86" s="235"/>
      <c r="D86" s="56"/>
      <c r="E86" s="56"/>
      <c r="F86" s="56"/>
      <c r="G86" s="56"/>
      <c r="H86" s="56"/>
      <c r="I86" s="56"/>
      <c r="J86" s="56"/>
    </row>
    <row r="87" spans="2:10" x14ac:dyDescent="0.35">
      <c r="B87" s="273">
        <v>45901</v>
      </c>
      <c r="C87" s="235"/>
      <c r="D87" s="56"/>
      <c r="E87" s="56"/>
      <c r="F87" s="56"/>
      <c r="G87" s="56"/>
      <c r="H87" s="56"/>
      <c r="I87" s="56"/>
      <c r="J87" s="56"/>
    </row>
    <row r="88" spans="2:10" x14ac:dyDescent="0.35">
      <c r="B88" s="273">
        <v>45931</v>
      </c>
      <c r="C88" s="235"/>
      <c r="D88" s="56"/>
      <c r="E88" s="56"/>
      <c r="F88" s="56"/>
      <c r="G88" s="56"/>
      <c r="H88" s="56"/>
      <c r="I88" s="56"/>
      <c r="J88" s="56"/>
    </row>
    <row r="89" spans="2:10" x14ac:dyDescent="0.35">
      <c r="B89" s="273">
        <v>45962</v>
      </c>
      <c r="C89" s="235"/>
      <c r="D89" s="56"/>
      <c r="E89" s="56"/>
      <c r="F89" s="56"/>
      <c r="G89" s="56"/>
      <c r="H89" s="56"/>
      <c r="I89" s="56"/>
      <c r="J89" s="56"/>
    </row>
    <row r="90" spans="2:10" x14ac:dyDescent="0.35">
      <c r="B90" s="273">
        <v>45992</v>
      </c>
      <c r="C90" s="235"/>
      <c r="D90" s="56"/>
      <c r="E90" s="56"/>
      <c r="F90" s="56"/>
      <c r="G90" s="56"/>
      <c r="H90" s="56"/>
      <c r="I90" s="56"/>
      <c r="J90" s="56"/>
    </row>
    <row r="91" spans="2:10" x14ac:dyDescent="0.35">
      <c r="B91" s="273">
        <v>46023</v>
      </c>
      <c r="C91" s="235"/>
      <c r="D91" s="56"/>
      <c r="E91" s="56"/>
      <c r="F91" s="56"/>
      <c r="G91" s="56"/>
      <c r="H91" s="56"/>
      <c r="I91" s="56"/>
      <c r="J91" s="56"/>
    </row>
    <row r="92" spans="2:10" x14ac:dyDescent="0.35">
      <c r="B92" s="273">
        <v>46054</v>
      </c>
      <c r="C92" s="235"/>
      <c r="D92" s="56"/>
      <c r="E92" s="56"/>
      <c r="F92" s="56"/>
      <c r="G92" s="56"/>
      <c r="H92" s="56"/>
      <c r="I92" s="56"/>
      <c r="J92" s="56"/>
    </row>
    <row r="93" spans="2:10" x14ac:dyDescent="0.35">
      <c r="B93" s="273">
        <v>46082</v>
      </c>
      <c r="C93" s="235"/>
      <c r="D93" s="56"/>
      <c r="E93" s="56"/>
      <c r="F93" s="56"/>
      <c r="G93" s="56"/>
      <c r="H93" s="56"/>
      <c r="I93" s="56"/>
      <c r="J93" s="56"/>
    </row>
    <row r="94" spans="2:10" x14ac:dyDescent="0.35">
      <c r="B94" s="273">
        <v>46113</v>
      </c>
      <c r="C94" s="235"/>
      <c r="D94" s="56"/>
      <c r="E94" s="56"/>
      <c r="F94" s="56"/>
      <c r="G94" s="56"/>
      <c r="H94" s="56"/>
      <c r="I94" s="56"/>
      <c r="J94" s="56"/>
    </row>
    <row r="95" spans="2:10" x14ac:dyDescent="0.35">
      <c r="B95" s="273">
        <v>46143</v>
      </c>
      <c r="C95" s="235"/>
      <c r="D95" s="56"/>
      <c r="E95" s="56"/>
      <c r="F95" s="56"/>
      <c r="G95" s="56"/>
      <c r="H95" s="56"/>
      <c r="I95" s="56"/>
      <c r="J95" s="56"/>
    </row>
    <row r="96" spans="2:10" x14ac:dyDescent="0.35">
      <c r="B96" s="273">
        <v>46174</v>
      </c>
      <c r="C96" s="235"/>
      <c r="D96" s="56"/>
      <c r="E96" s="56"/>
      <c r="F96" s="56"/>
      <c r="G96" s="56"/>
      <c r="H96" s="56"/>
      <c r="I96" s="56"/>
      <c r="J96" s="56"/>
    </row>
    <row r="97" spans="2:10" x14ac:dyDescent="0.35">
      <c r="B97" s="273">
        <v>46204</v>
      </c>
      <c r="C97" s="235"/>
      <c r="D97" s="56"/>
      <c r="E97" s="56"/>
      <c r="F97" s="56"/>
      <c r="G97" s="56"/>
      <c r="H97" s="56"/>
      <c r="I97" s="56"/>
      <c r="J97" s="56"/>
    </row>
    <row r="98" spans="2:10" x14ac:dyDescent="0.35">
      <c r="B98" s="273">
        <v>46235</v>
      </c>
      <c r="C98" s="235"/>
      <c r="D98" s="56"/>
      <c r="E98" s="56"/>
      <c r="F98" s="56"/>
      <c r="G98" s="56"/>
      <c r="H98" s="56"/>
      <c r="I98" s="56"/>
      <c r="J98" s="56"/>
    </row>
    <row r="99" spans="2:10" x14ac:dyDescent="0.35">
      <c r="B99" s="273">
        <v>46266</v>
      </c>
      <c r="C99" s="235"/>
      <c r="D99" s="56"/>
      <c r="E99" s="56"/>
      <c r="F99" s="56"/>
      <c r="G99" s="56"/>
      <c r="H99" s="56"/>
      <c r="I99" s="56"/>
      <c r="J99" s="56"/>
    </row>
    <row r="100" spans="2:10" x14ac:dyDescent="0.35">
      <c r="B100" s="273">
        <v>46296</v>
      </c>
      <c r="C100" s="235"/>
      <c r="D100" s="56"/>
      <c r="E100" s="56"/>
      <c r="F100" s="56"/>
      <c r="G100" s="56"/>
      <c r="H100" s="56"/>
      <c r="I100" s="56"/>
      <c r="J100" s="56"/>
    </row>
    <row r="101" spans="2:10" x14ac:dyDescent="0.35">
      <c r="B101" s="273">
        <v>46327</v>
      </c>
      <c r="C101" s="235"/>
      <c r="D101" s="56"/>
      <c r="E101" s="56"/>
      <c r="F101" s="56"/>
      <c r="G101" s="56"/>
      <c r="H101" s="56"/>
      <c r="I101" s="56"/>
      <c r="J101" s="56"/>
    </row>
    <row r="102" spans="2:10" x14ac:dyDescent="0.35">
      <c r="B102" s="274">
        <v>46357</v>
      </c>
      <c r="C102" s="236"/>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r:id="rId2"/>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253" t="s">
        <v>53</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2:30" ht="14.25" customHeight="1" x14ac:dyDescent="0.35">
      <c r="B2" s="1346" t="s">
        <v>277</v>
      </c>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6"/>
      <c r="AA2" s="1346"/>
      <c r="AB2" s="1346"/>
      <c r="AC2" s="1346"/>
    </row>
    <row r="3" spans="2:30" x14ac:dyDescent="0.35">
      <c r="B3" s="1346"/>
      <c r="C3" s="1346"/>
      <c r="D3" s="1346"/>
      <c r="E3" s="1346"/>
      <c r="F3" s="1346"/>
      <c r="G3" s="1346"/>
      <c r="H3" s="1346"/>
      <c r="I3" s="1346"/>
      <c r="J3" s="1346"/>
      <c r="K3" s="1346"/>
      <c r="L3" s="1346"/>
      <c r="M3" s="1346"/>
      <c r="N3" s="1346"/>
      <c r="O3" s="1346"/>
      <c r="P3" s="1346"/>
      <c r="Q3" s="1346"/>
      <c r="R3" s="1346"/>
      <c r="S3" s="1346"/>
      <c r="T3" s="1346"/>
      <c r="U3" s="1346"/>
      <c r="V3" s="1346"/>
      <c r="W3" s="1346"/>
      <c r="X3" s="1346"/>
      <c r="Y3" s="1346"/>
      <c r="Z3" s="1346"/>
      <c r="AA3" s="1346"/>
      <c r="AB3" s="1346"/>
      <c r="AC3" s="1346"/>
    </row>
    <row r="4" spans="2:30" x14ac:dyDescent="0.35">
      <c r="B4" s="1346"/>
      <c r="C4" s="1346"/>
      <c r="D4" s="1346"/>
      <c r="E4" s="1346"/>
      <c r="F4" s="1346"/>
      <c r="G4" s="1346"/>
      <c r="H4" s="1346"/>
      <c r="I4" s="1346"/>
      <c r="J4" s="1346"/>
      <c r="K4" s="1346"/>
      <c r="L4" s="1346"/>
      <c r="M4" s="1346"/>
      <c r="N4" s="1346"/>
      <c r="O4" s="1346"/>
      <c r="P4" s="1346"/>
      <c r="Q4" s="1346"/>
      <c r="R4" s="1346"/>
      <c r="S4" s="1346"/>
      <c r="T4" s="1346"/>
      <c r="U4" s="1346"/>
      <c r="V4" s="1346"/>
      <c r="W4" s="1346"/>
      <c r="X4" s="1346"/>
      <c r="Y4" s="1346"/>
      <c r="Z4" s="1346"/>
      <c r="AA4" s="1346"/>
      <c r="AB4" s="1346"/>
      <c r="AC4" s="1346"/>
    </row>
    <row r="5" spans="2:30" x14ac:dyDescent="0.35">
      <c r="B5" s="1346"/>
      <c r="C5" s="1346"/>
      <c r="D5" s="1346"/>
      <c r="E5" s="1346"/>
      <c r="F5" s="1346"/>
      <c r="G5" s="1346"/>
      <c r="H5" s="1346"/>
      <c r="I5" s="1346"/>
      <c r="J5" s="1346"/>
      <c r="K5" s="1346"/>
      <c r="L5" s="1346"/>
      <c r="M5" s="1346"/>
      <c r="N5" s="1346"/>
      <c r="O5" s="1346"/>
      <c r="P5" s="1346"/>
      <c r="Q5" s="1346"/>
      <c r="R5" s="1346"/>
      <c r="S5" s="1346"/>
      <c r="T5" s="1346"/>
      <c r="U5" s="1346"/>
      <c r="V5" s="1346"/>
      <c r="W5" s="1346"/>
      <c r="X5" s="1346"/>
      <c r="Y5" s="1346"/>
      <c r="Z5" s="1346"/>
      <c r="AA5" s="1346"/>
      <c r="AB5" s="1346"/>
      <c r="AC5" s="1346"/>
    </row>
    <row r="6" spans="2:30" ht="38.9" customHeight="1" x14ac:dyDescent="0.35">
      <c r="B6" s="1346"/>
      <c r="C6" s="1346"/>
      <c r="D6" s="1346"/>
      <c r="E6" s="1346"/>
      <c r="F6" s="1346"/>
      <c r="G6" s="1346"/>
      <c r="H6" s="1346"/>
      <c r="I6" s="1346"/>
      <c r="J6" s="1346"/>
      <c r="K6" s="1346"/>
      <c r="L6" s="1346"/>
      <c r="M6" s="1346"/>
      <c r="N6" s="1346"/>
      <c r="O6" s="1346"/>
      <c r="P6" s="1346"/>
      <c r="Q6" s="1346"/>
      <c r="R6" s="1346"/>
      <c r="S6" s="1346"/>
      <c r="T6" s="1346"/>
      <c r="U6" s="1346"/>
      <c r="V6" s="1346"/>
      <c r="W6" s="1346"/>
      <c r="X6" s="1346"/>
      <c r="Y6" s="1346"/>
      <c r="Z6" s="1346"/>
      <c r="AA6" s="1346"/>
      <c r="AB6" s="1346"/>
      <c r="AC6" s="1346"/>
    </row>
    <row r="7" spans="2:30" x14ac:dyDescent="0.35">
      <c r="B7" s="265"/>
      <c r="C7" s="265"/>
      <c r="D7" s="265"/>
      <c r="E7" s="265"/>
      <c r="F7" s="265"/>
      <c r="G7" s="265"/>
      <c r="H7" s="266"/>
      <c r="I7" s="266"/>
      <c r="J7" s="266"/>
      <c r="K7" s="266"/>
      <c r="L7" s="266"/>
      <c r="M7" s="266"/>
      <c r="N7" s="266"/>
      <c r="O7" s="266"/>
      <c r="P7" s="266"/>
      <c r="Q7" s="266"/>
      <c r="R7" s="266"/>
      <c r="S7" s="266"/>
      <c r="T7" s="266"/>
      <c r="U7" s="266"/>
      <c r="V7" s="266"/>
      <c r="W7" s="266"/>
      <c r="X7" s="266"/>
      <c r="Y7" s="266"/>
    </row>
    <row r="8" spans="2:30" ht="14.9" customHeight="1" x14ac:dyDescent="0.35">
      <c r="B8" s="1256" t="s">
        <v>278</v>
      </c>
      <c r="C8" s="1257"/>
      <c r="D8" s="1353" t="s">
        <v>279</v>
      </c>
      <c r="E8" s="1354"/>
      <c r="F8" s="1354"/>
      <c r="G8" s="1354"/>
      <c r="H8" s="1354"/>
      <c r="I8" s="1354"/>
      <c r="J8" s="1354"/>
      <c r="K8" s="1354"/>
      <c r="L8" s="1354"/>
      <c r="M8" s="1354"/>
      <c r="N8" s="1354"/>
      <c r="O8" s="1354"/>
      <c r="P8" s="1354"/>
      <c r="Q8" s="1354"/>
      <c r="R8" s="1354"/>
      <c r="S8" s="1354"/>
      <c r="T8" s="1355"/>
      <c r="U8" s="1356" t="s">
        <v>280</v>
      </c>
      <c r="V8" s="1357"/>
      <c r="W8" s="1357"/>
      <c r="X8" s="1357"/>
      <c r="Y8" s="1357"/>
      <c r="Z8" s="1357"/>
      <c r="AA8" s="1357"/>
      <c r="AB8" s="1357"/>
      <c r="AC8" s="1358"/>
    </row>
    <row r="9" spans="2:30" ht="12.75" customHeight="1" x14ac:dyDescent="0.35">
      <c r="B9" s="1258"/>
      <c r="C9" s="1350"/>
      <c r="D9" s="293">
        <v>2018</v>
      </c>
      <c r="E9" s="1264">
        <v>2019</v>
      </c>
      <c r="F9" s="1359"/>
      <c r="G9" s="1359"/>
      <c r="H9" s="1266"/>
      <c r="I9" s="1359">
        <v>2020</v>
      </c>
      <c r="J9" s="1359"/>
      <c r="K9" s="1359"/>
      <c r="L9" s="1359"/>
      <c r="M9" s="1264">
        <v>2021</v>
      </c>
      <c r="N9" s="1359"/>
      <c r="O9" s="1359"/>
      <c r="P9" s="1359"/>
      <c r="Q9" s="1360">
        <v>2022</v>
      </c>
      <c r="R9" s="1361"/>
      <c r="S9" s="299"/>
      <c r="T9" s="306"/>
      <c r="U9" s="1271">
        <v>2023</v>
      </c>
      <c r="V9" s="1352"/>
      <c r="W9" s="1352"/>
      <c r="X9" s="1272"/>
      <c r="Y9" s="1270">
        <v>2024</v>
      </c>
      <c r="Z9" s="1352"/>
      <c r="AA9" s="1352"/>
      <c r="AB9" s="1352"/>
      <c r="AC9" s="301">
        <v>2025</v>
      </c>
    </row>
    <row r="10" spans="2:30" ht="14.9" customHeight="1" x14ac:dyDescent="0.35">
      <c r="B10" s="1258"/>
      <c r="C10" s="1350"/>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8" t="s">
        <v>281</v>
      </c>
      <c r="U10" s="269" t="s">
        <v>282</v>
      </c>
      <c r="V10" s="269" t="s">
        <v>283</v>
      </c>
      <c r="W10" s="269" t="s">
        <v>238</v>
      </c>
      <c r="X10" s="298" t="s">
        <v>281</v>
      </c>
      <c r="Y10" s="296" t="s">
        <v>282</v>
      </c>
      <c r="Z10" s="267" t="s">
        <v>283</v>
      </c>
      <c r="AA10" s="269" t="s">
        <v>238</v>
      </c>
      <c r="AB10" s="269" t="s">
        <v>281</v>
      </c>
      <c r="AC10" s="302" t="s">
        <v>282</v>
      </c>
    </row>
    <row r="11" spans="2:30" x14ac:dyDescent="0.35">
      <c r="B11" s="254" t="s">
        <v>102</v>
      </c>
      <c r="C11" s="270" t="s">
        <v>284</v>
      </c>
      <c r="D11" s="256">
        <f>'Haver Pivoted'!GO14</f>
        <v>27.1</v>
      </c>
      <c r="E11" s="317">
        <f>'Haver Pivoted'!GP14</f>
        <v>29.6</v>
      </c>
      <c r="F11" s="317">
        <f>'Haver Pivoted'!GQ14</f>
        <v>27.3</v>
      </c>
      <c r="G11" s="317">
        <f>'Haver Pivoted'!GR14</f>
        <v>26.4</v>
      </c>
      <c r="H11" s="317">
        <f>'Haver Pivoted'!GS14</f>
        <v>26.7</v>
      </c>
      <c r="I11" s="317">
        <f>'Haver Pivoted'!GT14</f>
        <v>40.1</v>
      </c>
      <c r="J11" s="317">
        <f>'Haver Pivoted'!GU14</f>
        <v>951.5</v>
      </c>
      <c r="K11" s="317">
        <f>'Haver Pivoted'!GV14</f>
        <v>800</v>
      </c>
      <c r="L11" s="317">
        <f>'Haver Pivoted'!GW14</f>
        <v>322.7</v>
      </c>
      <c r="M11" s="317">
        <f>'Haver Pivoted'!GX14</f>
        <v>583.79999999999995</v>
      </c>
      <c r="N11" s="317">
        <f>'Haver Pivoted'!GY14</f>
        <v>440.8</v>
      </c>
      <c r="O11" s="317">
        <f>'Haver Pivoted'!GZ14</f>
        <v>212.8</v>
      </c>
      <c r="P11" s="317">
        <f>'Haver Pivoted'!HA14</f>
        <v>31.8</v>
      </c>
      <c r="Q11" s="317">
        <f>'Haver Pivoted'!HB14</f>
        <v>24.5</v>
      </c>
      <c r="R11" s="317">
        <f>'Haver Pivoted'!HC14</f>
        <v>21.7</v>
      </c>
      <c r="S11" s="297">
        <f>'Haver Pivoted'!HD14</f>
        <v>23.1</v>
      </c>
      <c r="T11" s="295">
        <f>'Haver Pivoted'!HE14</f>
        <v>25.9</v>
      </c>
      <c r="U11" s="295">
        <f>'Haver Pivoted'!HF14</f>
        <v>30.1</v>
      </c>
      <c r="V11" s="275">
        <f t="shared" ref="V11:AC11" si="0">V12+V13+V20</f>
        <v>39.551400000000001</v>
      </c>
      <c r="W11" s="275">
        <f t="shared" si="0"/>
        <v>42.131399999999999</v>
      </c>
      <c r="X11" s="275">
        <f t="shared" si="0"/>
        <v>43.980399999999996</v>
      </c>
      <c r="Y11" s="275">
        <f t="shared" si="0"/>
        <v>43.851399999999998</v>
      </c>
      <c r="Z11" s="275">
        <f t="shared" si="0"/>
        <v>42.509799999999991</v>
      </c>
      <c r="AA11" s="275">
        <f t="shared" si="0"/>
        <v>41.787399999999991</v>
      </c>
      <c r="AB11" s="275">
        <f t="shared" si="0"/>
        <v>41.271399999999993</v>
      </c>
      <c r="AC11" s="305">
        <f t="shared" si="0"/>
        <v>41.073599999999992</v>
      </c>
      <c r="AD11" s="245" t="s">
        <v>285</v>
      </c>
    </row>
    <row r="12" spans="2:30" x14ac:dyDescent="0.35">
      <c r="B12" s="264" t="s">
        <v>286</v>
      </c>
      <c r="C12" s="257" t="s">
        <v>287</v>
      </c>
      <c r="D12" s="272">
        <f>'Haver Pivoted'!GO63</f>
        <v>0</v>
      </c>
      <c r="E12" s="229">
        <f>'Haver Pivoted'!GP63</f>
        <v>0</v>
      </c>
      <c r="F12" s="229">
        <f>'Haver Pivoted'!GQ63</f>
        <v>0</v>
      </c>
      <c r="G12" s="229">
        <f>'Haver Pivoted'!GR63</f>
        <v>0</v>
      </c>
      <c r="H12" s="229">
        <f>'Haver Pivoted'!GS63</f>
        <v>0</v>
      </c>
      <c r="I12" s="229">
        <f>'Haver Pivoted'!GT63</f>
        <v>0</v>
      </c>
      <c r="J12" s="229">
        <f>'Haver Pivoted'!GU63</f>
        <v>0.1</v>
      </c>
      <c r="K12" s="229">
        <f>'Haver Pivoted'!GV63</f>
        <v>3.7</v>
      </c>
      <c r="L12" s="229">
        <f>'Haver Pivoted'!GW63</f>
        <v>12.9</v>
      </c>
      <c r="M12" s="229">
        <f>'Haver Pivoted'!GX63</f>
        <v>25.5</v>
      </c>
      <c r="N12" s="229">
        <f>'Haver Pivoted'!GY63</f>
        <v>3.8</v>
      </c>
      <c r="O12" s="229">
        <f>'Haver Pivoted'!GZ63</f>
        <v>1.8</v>
      </c>
      <c r="P12" s="229">
        <f>'Haver Pivoted'!HA63</f>
        <v>0.6</v>
      </c>
      <c r="Q12" s="229">
        <f>'Haver Pivoted'!HB63</f>
        <v>0.2</v>
      </c>
      <c r="R12" s="229">
        <f>'Haver Pivoted'!HC63</f>
        <v>0.1</v>
      </c>
      <c r="S12" s="222">
        <f>'Haver Pivoted'!HD63</f>
        <v>0</v>
      </c>
      <c r="T12" s="228">
        <f>'Haver Pivoted'!HE63</f>
        <v>0</v>
      </c>
      <c r="U12" s="228">
        <f>'Haver Pivoted'!HF63</f>
        <v>0</v>
      </c>
      <c r="V12" s="231">
        <f>U12*V23/U23</f>
        <v>0</v>
      </c>
      <c r="W12" s="231">
        <f t="shared" ref="W12:AB12" si="1">V12*W23/V23</f>
        <v>0</v>
      </c>
      <c r="X12" s="231">
        <f t="shared" si="1"/>
        <v>0</v>
      </c>
      <c r="Y12" s="231">
        <f t="shared" si="1"/>
        <v>0</v>
      </c>
      <c r="Z12" s="231">
        <f t="shared" si="1"/>
        <v>0</v>
      </c>
      <c r="AA12" s="231">
        <f t="shared" si="1"/>
        <v>0</v>
      </c>
      <c r="AB12" s="231">
        <f t="shared" si="1"/>
        <v>0</v>
      </c>
      <c r="AC12" s="311">
        <f>AB12*AC23/AB23</f>
        <v>0</v>
      </c>
    </row>
    <row r="13" spans="2:30" x14ac:dyDescent="0.35">
      <c r="B13" s="264" t="s">
        <v>288</v>
      </c>
      <c r="C13" s="257"/>
      <c r="D13" s="272"/>
      <c r="E13" s="229"/>
      <c r="F13" s="229"/>
      <c r="G13" s="229"/>
      <c r="H13" s="237">
        <f>SUM(H14:H17)</f>
        <v>0</v>
      </c>
      <c r="I13" s="237">
        <f t="shared" ref="I13:M13" si="2">SUM(I14:I17)</f>
        <v>0</v>
      </c>
      <c r="J13" s="237">
        <f t="shared" si="2"/>
        <v>779.7</v>
      </c>
      <c r="K13" s="237">
        <f t="shared" si="2"/>
        <v>582.6</v>
      </c>
      <c r="L13" s="237">
        <f t="shared" si="2"/>
        <v>216.5</v>
      </c>
      <c r="M13" s="237">
        <f t="shared" si="2"/>
        <v>497.6</v>
      </c>
      <c r="N13" s="242">
        <f>SUM(N14:N17)</f>
        <v>401.5</v>
      </c>
      <c r="O13" s="242">
        <f t="shared" ref="O13:AC13" si="3">SUM(O14:O17)</f>
        <v>207.4</v>
      </c>
      <c r="P13" s="242">
        <f t="shared" si="3"/>
        <v>5.5</v>
      </c>
      <c r="Q13" s="242">
        <v>0</v>
      </c>
      <c r="R13" s="242">
        <f t="shared" si="3"/>
        <v>1</v>
      </c>
      <c r="S13" s="303">
        <f t="shared" si="3"/>
        <v>0.5</v>
      </c>
      <c r="T13" s="312">
        <f t="shared" si="3"/>
        <v>0.30000000000000004</v>
      </c>
      <c r="U13" s="312">
        <f t="shared" si="3"/>
        <v>0</v>
      </c>
      <c r="V13" s="231">
        <f t="shared" si="3"/>
        <v>0</v>
      </c>
      <c r="W13" s="231">
        <f t="shared" si="3"/>
        <v>0</v>
      </c>
      <c r="X13" s="231">
        <f t="shared" si="3"/>
        <v>0</v>
      </c>
      <c r="Y13" s="231">
        <f t="shared" si="3"/>
        <v>0</v>
      </c>
      <c r="Z13" s="231">
        <f t="shared" si="3"/>
        <v>0</v>
      </c>
      <c r="AA13" s="231">
        <f t="shared" si="3"/>
        <v>0</v>
      </c>
      <c r="AB13" s="231">
        <f t="shared" si="3"/>
        <v>0</v>
      </c>
      <c r="AC13" s="311">
        <f t="shared" si="3"/>
        <v>0</v>
      </c>
    </row>
    <row r="14" spans="2:30" ht="18" customHeight="1" x14ac:dyDescent="0.35">
      <c r="B14" s="250" t="s">
        <v>289</v>
      </c>
      <c r="C14" s="251" t="s">
        <v>287</v>
      </c>
      <c r="D14" s="271">
        <f>'Haver Pivoted'!GO63</f>
        <v>0</v>
      </c>
      <c r="E14" s="241">
        <f>'Haver Pivoted'!GP63</f>
        <v>0</v>
      </c>
      <c r="F14" s="241">
        <f>'Haver Pivoted'!GQ63</f>
        <v>0</v>
      </c>
      <c r="G14" s="241">
        <f>'Haver Pivoted'!GR63</f>
        <v>0</v>
      </c>
      <c r="H14" s="241">
        <f>'Haver Pivoted'!GS63</f>
        <v>0</v>
      </c>
      <c r="I14" s="241">
        <f>'Haver Pivoted'!GT63</f>
        <v>0</v>
      </c>
      <c r="J14" s="241">
        <f>'Haver Pivoted'!GU63</f>
        <v>0.1</v>
      </c>
      <c r="K14" s="241">
        <f>'Haver Pivoted'!GV63</f>
        <v>3.7</v>
      </c>
      <c r="L14" s="241">
        <f>'Haver Pivoted'!GW63</f>
        <v>12.9</v>
      </c>
      <c r="M14" s="241">
        <f>'Haver Pivoted'!GX63</f>
        <v>25.5</v>
      </c>
      <c r="N14" s="241">
        <f>'Haver Pivoted'!GY63</f>
        <v>3.8</v>
      </c>
      <c r="O14" s="241">
        <f>'Haver Pivoted'!GZ63</f>
        <v>1.8</v>
      </c>
      <c r="P14" s="241">
        <f>'Haver Pivoted'!HA63</f>
        <v>0.6</v>
      </c>
      <c r="Q14" s="241">
        <f>'Haver Pivoted'!HB63</f>
        <v>0.2</v>
      </c>
      <c r="R14" s="241">
        <f>'Haver Pivoted'!HC63</f>
        <v>0.1</v>
      </c>
      <c r="S14" s="243">
        <f>'Haver Pivoted'!HD63</f>
        <v>0</v>
      </c>
      <c r="T14" s="310">
        <f>'Haver Pivoted'!HE63</f>
        <v>0</v>
      </c>
      <c r="U14" s="310">
        <f>'Haver Pivoted'!HF63</f>
        <v>0</v>
      </c>
      <c r="V14" s="231">
        <f t="shared" ref="V14:X14" si="4">V12</f>
        <v>0</v>
      </c>
      <c r="W14" s="231">
        <f t="shared" si="4"/>
        <v>0</v>
      </c>
      <c r="X14" s="231">
        <f t="shared" si="4"/>
        <v>0</v>
      </c>
      <c r="Y14" s="231">
        <f>Y12</f>
        <v>0</v>
      </c>
      <c r="Z14" s="231">
        <f t="shared" ref="Z14:AC14" si="5">Z12</f>
        <v>0</v>
      </c>
      <c r="AA14" s="231">
        <f t="shared" si="5"/>
        <v>0</v>
      </c>
      <c r="AB14" s="231">
        <f t="shared" si="5"/>
        <v>0</v>
      </c>
      <c r="AC14" s="311">
        <f t="shared" si="5"/>
        <v>0</v>
      </c>
    </row>
    <row r="15" spans="2:30" ht="18" customHeight="1" x14ac:dyDescent="0.35">
      <c r="B15" s="250" t="s">
        <v>290</v>
      </c>
      <c r="C15" s="251" t="s">
        <v>291</v>
      </c>
      <c r="D15" s="271">
        <f>'Haver Pivoted'!GO59</f>
        <v>0</v>
      </c>
      <c r="E15" s="241">
        <f>'Haver Pivoted'!GP59</f>
        <v>0</v>
      </c>
      <c r="F15" s="241">
        <f>'Haver Pivoted'!GQ59</f>
        <v>0</v>
      </c>
      <c r="G15" s="241">
        <f>'Haver Pivoted'!GR59</f>
        <v>0</v>
      </c>
      <c r="H15" s="241">
        <f>'Haver Pivoted'!GS59</f>
        <v>0</v>
      </c>
      <c r="I15" s="241">
        <f>'Haver Pivoted'!GT59</f>
        <v>0</v>
      </c>
      <c r="J15" s="241">
        <f>'Haver Pivoted'!GU59</f>
        <v>6.3</v>
      </c>
      <c r="K15" s="241">
        <f>'Haver Pivoted'!GV59</f>
        <v>26.7</v>
      </c>
      <c r="L15" s="241">
        <f>'Haver Pivoted'!GW59</f>
        <v>82.1</v>
      </c>
      <c r="M15" s="241">
        <f>'Haver Pivoted'!GX59</f>
        <v>94.7</v>
      </c>
      <c r="N15" s="241">
        <f>'Haver Pivoted'!GY59</f>
        <v>92.1</v>
      </c>
      <c r="O15" s="241">
        <f>'Haver Pivoted'!GZ59</f>
        <v>51.6</v>
      </c>
      <c r="P15" s="241">
        <f>'Haver Pivoted'!HA59</f>
        <v>2.8</v>
      </c>
      <c r="Q15" s="241">
        <f>'Haver Pivoted'!HB59</f>
        <v>0.8</v>
      </c>
      <c r="R15" s="241">
        <f>'Haver Pivoted'!HC59</f>
        <v>0.5</v>
      </c>
      <c r="S15" s="243">
        <f>'Haver Pivoted'!HD59</f>
        <v>0.3</v>
      </c>
      <c r="T15" s="310">
        <f>'Haver Pivoted'!HE59</f>
        <v>0.2</v>
      </c>
      <c r="U15" s="310">
        <f>'Haver Pivoted'!HF59</f>
        <v>0</v>
      </c>
      <c r="V15" s="231">
        <f t="shared" ref="V15:AB17" si="6">U15*V$23/U$23</f>
        <v>0</v>
      </c>
      <c r="W15" s="231">
        <f t="shared" si="6"/>
        <v>0</v>
      </c>
      <c r="X15" s="231">
        <f t="shared" si="6"/>
        <v>0</v>
      </c>
      <c r="Y15" s="231">
        <f t="shared" si="6"/>
        <v>0</v>
      </c>
      <c r="Z15" s="231">
        <f t="shared" si="6"/>
        <v>0</v>
      </c>
      <c r="AA15" s="231">
        <f t="shared" si="6"/>
        <v>0</v>
      </c>
      <c r="AB15" s="231">
        <f t="shared" si="6"/>
        <v>0</v>
      </c>
      <c r="AC15" s="311">
        <f>AB15*AC$23/AB$23</f>
        <v>0</v>
      </c>
    </row>
    <row r="16" spans="2:30" ht="18" customHeight="1" x14ac:dyDescent="0.35">
      <c r="B16" s="250" t="s">
        <v>292</v>
      </c>
      <c r="C16" s="251" t="s">
        <v>293</v>
      </c>
      <c r="D16" s="271">
        <f>'Haver Pivoted'!GO60</f>
        <v>0</v>
      </c>
      <c r="E16" s="241">
        <f>'Haver Pivoted'!GP60</f>
        <v>0</v>
      </c>
      <c r="F16" s="241">
        <f>'Haver Pivoted'!GQ60</f>
        <v>0</v>
      </c>
      <c r="G16" s="241">
        <f>'Haver Pivoted'!GR60</f>
        <v>0</v>
      </c>
      <c r="H16" s="241">
        <f>'Haver Pivoted'!GS60</f>
        <v>0</v>
      </c>
      <c r="I16" s="241">
        <f>'Haver Pivoted'!GT60</f>
        <v>0</v>
      </c>
      <c r="J16" s="241">
        <f>'Haver Pivoted'!GU60</f>
        <v>74.400000000000006</v>
      </c>
      <c r="K16" s="241">
        <f>'Haver Pivoted'!GV60</f>
        <v>138.30000000000001</v>
      </c>
      <c r="L16" s="241">
        <f>'Haver Pivoted'!GW60</f>
        <v>106.8</v>
      </c>
      <c r="M16" s="241">
        <f>'Haver Pivoted'!GX60</f>
        <v>89.2</v>
      </c>
      <c r="N16" s="241">
        <f>'Haver Pivoted'!GY60</f>
        <v>72.3</v>
      </c>
      <c r="O16" s="241">
        <f>'Haver Pivoted'!GZ60</f>
        <v>43.5</v>
      </c>
      <c r="P16" s="241">
        <f>'Haver Pivoted'!HA60</f>
        <v>2.1</v>
      </c>
      <c r="Q16" s="241">
        <f>'Haver Pivoted'!HB60</f>
        <v>0.8</v>
      </c>
      <c r="R16" s="241">
        <f>'Haver Pivoted'!HC60</f>
        <v>0.4</v>
      </c>
      <c r="S16" s="243">
        <f>'Haver Pivoted'!HD60</f>
        <v>0.2</v>
      </c>
      <c r="T16" s="310">
        <f>'Haver Pivoted'!HE60</f>
        <v>0.1</v>
      </c>
      <c r="U16" s="310">
        <f>'Haver Pivoted'!HF60</f>
        <v>0</v>
      </c>
      <c r="V16" s="231">
        <f t="shared" si="6"/>
        <v>0</v>
      </c>
      <c r="W16" s="231">
        <f t="shared" si="6"/>
        <v>0</v>
      </c>
      <c r="X16" s="231">
        <f t="shared" si="6"/>
        <v>0</v>
      </c>
      <c r="Y16" s="231">
        <f t="shared" si="6"/>
        <v>0</v>
      </c>
      <c r="Z16" s="231">
        <f t="shared" si="6"/>
        <v>0</v>
      </c>
      <c r="AA16" s="231">
        <f t="shared" si="6"/>
        <v>0</v>
      </c>
      <c r="AB16" s="231">
        <f t="shared" si="6"/>
        <v>0</v>
      </c>
      <c r="AC16" s="311">
        <f>AB16*AC$23/AB$23</f>
        <v>0</v>
      </c>
    </row>
    <row r="17" spans="1:32" ht="18" customHeight="1" x14ac:dyDescent="0.35">
      <c r="B17" s="250" t="s">
        <v>294</v>
      </c>
      <c r="C17" s="251" t="s">
        <v>295</v>
      </c>
      <c r="D17" s="271">
        <f>'Haver Pivoted'!GO61</f>
        <v>0</v>
      </c>
      <c r="E17" s="241">
        <f>'Haver Pivoted'!GP61</f>
        <v>0</v>
      </c>
      <c r="F17" s="241">
        <f>'Haver Pivoted'!GQ61</f>
        <v>0</v>
      </c>
      <c r="G17" s="241">
        <f>'Haver Pivoted'!GR61</f>
        <v>0</v>
      </c>
      <c r="H17" s="241">
        <f>'Haver Pivoted'!GS61</f>
        <v>0</v>
      </c>
      <c r="I17" s="241">
        <f>'Haver Pivoted'!GT61</f>
        <v>0</v>
      </c>
      <c r="J17" s="241">
        <f>'Haver Pivoted'!GU61</f>
        <v>698.9</v>
      </c>
      <c r="K17" s="241">
        <f>'Haver Pivoted'!GV61</f>
        <v>413.9</v>
      </c>
      <c r="L17" s="241">
        <f>'Haver Pivoted'!GW61</f>
        <v>14.7</v>
      </c>
      <c r="M17" s="241">
        <f>'Haver Pivoted'!GX61</f>
        <v>288.2</v>
      </c>
      <c r="N17" s="241">
        <f>'Haver Pivoted'!GY61</f>
        <v>233.3</v>
      </c>
      <c r="O17" s="241">
        <f>'Haver Pivoted'!GZ61</f>
        <v>110.5</v>
      </c>
      <c r="P17" s="241">
        <f>'Haver Pivoted'!HA61</f>
        <v>0</v>
      </c>
      <c r="Q17" s="241">
        <f>'Haver Pivoted'!HB61</f>
        <v>0</v>
      </c>
      <c r="R17" s="241">
        <f>'Haver Pivoted'!HC61</f>
        <v>0</v>
      </c>
      <c r="S17" s="243">
        <f>'Haver Pivoted'!HD61</f>
        <v>0</v>
      </c>
      <c r="T17" s="310">
        <f>'Haver Pivoted'!HE61</f>
        <v>0</v>
      </c>
      <c r="U17" s="310">
        <f>'Haver Pivoted'!HF61</f>
        <v>0</v>
      </c>
      <c r="V17" s="231">
        <f t="shared" si="6"/>
        <v>0</v>
      </c>
      <c r="W17" s="231">
        <f t="shared" si="6"/>
        <v>0</v>
      </c>
      <c r="X17" s="231">
        <f t="shared" si="6"/>
        <v>0</v>
      </c>
      <c r="Y17" s="231">
        <f t="shared" si="6"/>
        <v>0</v>
      </c>
      <c r="Z17" s="231">
        <f t="shared" si="6"/>
        <v>0</v>
      </c>
      <c r="AA17" s="231">
        <f t="shared" si="6"/>
        <v>0</v>
      </c>
      <c r="AB17" s="231">
        <f t="shared" si="6"/>
        <v>0</v>
      </c>
      <c r="AC17" s="311">
        <f>AB17*AC$23/AB$23</f>
        <v>0</v>
      </c>
    </row>
    <row r="18" spans="1:32" x14ac:dyDescent="0.35">
      <c r="B18" s="252" t="s">
        <v>158</v>
      </c>
      <c r="C18" s="245" t="s">
        <v>296</v>
      </c>
      <c r="D18" s="272">
        <f>'Haver Pivoted'!GO64</f>
        <v>0</v>
      </c>
      <c r="E18" s="229">
        <f>'Haver Pivoted'!GP64</f>
        <v>0</v>
      </c>
      <c r="F18" s="229">
        <f>'Haver Pivoted'!GQ64</f>
        <v>0</v>
      </c>
      <c r="G18" s="229">
        <f>'Haver Pivoted'!GR64</f>
        <v>0</v>
      </c>
      <c r="H18" s="229">
        <f>'Haver Pivoted'!GS64</f>
        <v>0</v>
      </c>
      <c r="I18" s="229">
        <f>'Haver Pivoted'!GT64</f>
        <v>0</v>
      </c>
      <c r="J18" s="229">
        <f>'Haver Pivoted'!GU64</f>
        <v>0</v>
      </c>
      <c r="K18" s="229">
        <f>'Haver Pivoted'!GV64</f>
        <v>106.2</v>
      </c>
      <c r="L18" s="229">
        <f>'Haver Pivoted'!GW64</f>
        <v>35.9</v>
      </c>
      <c r="M18" s="229">
        <f>'Haver Pivoted'!GX64</f>
        <v>1.6</v>
      </c>
      <c r="N18" s="229">
        <f>'Haver Pivoted'!GY64</f>
        <v>0.6</v>
      </c>
      <c r="O18" s="229">
        <f>'Haver Pivoted'!GZ64</f>
        <v>0.1</v>
      </c>
      <c r="P18" s="229">
        <f>'Haver Pivoted'!HA64</f>
        <v>0</v>
      </c>
      <c r="Q18" s="241">
        <f>'Haver Pivoted'!HB64</f>
        <v>0</v>
      </c>
      <c r="R18" s="241">
        <f>'Haver Pivoted'!HC64</f>
        <v>0</v>
      </c>
      <c r="S18" s="243">
        <f>'Haver Pivoted'!HD64</f>
        <v>0</v>
      </c>
      <c r="T18" s="310">
        <f>'Haver Pivoted'!HE64</f>
        <v>0</v>
      </c>
      <c r="U18" s="310">
        <f>'Haver Pivoted'!HF64</f>
        <v>0</v>
      </c>
      <c r="V18" s="231"/>
      <c r="W18" s="231"/>
      <c r="X18" s="231"/>
      <c r="Y18" s="231"/>
      <c r="Z18" s="231"/>
      <c r="AA18" s="231"/>
      <c r="AB18" s="231"/>
      <c r="AC18" s="311"/>
    </row>
    <row r="19" spans="1:32" ht="14.9" customHeight="1" x14ac:dyDescent="0.35">
      <c r="B19" s="268" t="s">
        <v>297</v>
      </c>
      <c r="C19" s="258"/>
      <c r="D19" s="262">
        <f t="shared" ref="D19:N19" si="7">D11-D20</f>
        <v>0</v>
      </c>
      <c r="E19" s="239">
        <f t="shared" si="7"/>
        <v>0</v>
      </c>
      <c r="F19" s="239">
        <f t="shared" si="7"/>
        <v>0</v>
      </c>
      <c r="G19" s="239">
        <f t="shared" si="7"/>
        <v>0</v>
      </c>
      <c r="H19" s="239">
        <f t="shared" si="7"/>
        <v>0</v>
      </c>
      <c r="I19" s="239">
        <f t="shared" si="7"/>
        <v>0</v>
      </c>
      <c r="J19" s="239">
        <f t="shared" si="7"/>
        <v>779.80000000000007</v>
      </c>
      <c r="K19" s="239">
        <f t="shared" si="7"/>
        <v>586.29999999999995</v>
      </c>
      <c r="L19" s="239">
        <f t="shared" si="7"/>
        <v>229.4</v>
      </c>
      <c r="M19" s="239">
        <f t="shared" si="7"/>
        <v>523.1</v>
      </c>
      <c r="N19" s="240">
        <f t="shared" si="7"/>
        <v>405.3</v>
      </c>
      <c r="O19" s="240">
        <f>O11-O20</f>
        <v>209.20000000000002</v>
      </c>
      <c r="P19" s="240">
        <f t="shared" ref="P19" si="8">P11-P20</f>
        <v>6.1000000000000014</v>
      </c>
      <c r="Q19" s="240">
        <f>Q11-Q20</f>
        <v>0.19999999999999929</v>
      </c>
      <c r="R19" s="240">
        <f>R11-R20</f>
        <v>1.1000000000000014</v>
      </c>
      <c r="S19" s="304">
        <f>S11-S20</f>
        <v>0.5</v>
      </c>
      <c r="T19" s="309">
        <f>T11-T20</f>
        <v>0.30000000000000071</v>
      </c>
      <c r="U19" s="309">
        <f>U11-U20</f>
        <v>0</v>
      </c>
      <c r="V19" s="244">
        <f t="shared" ref="V19:AC19" si="9">V11-V20</f>
        <v>0</v>
      </c>
      <c r="W19" s="244">
        <f t="shared" si="9"/>
        <v>0</v>
      </c>
      <c r="X19" s="244">
        <f t="shared" si="9"/>
        <v>0</v>
      </c>
      <c r="Y19" s="244">
        <f t="shared" si="9"/>
        <v>0</v>
      </c>
      <c r="Z19" s="244">
        <f t="shared" si="9"/>
        <v>0</v>
      </c>
      <c r="AA19" s="244">
        <f t="shared" si="9"/>
        <v>0</v>
      </c>
      <c r="AB19" s="244">
        <f t="shared" si="9"/>
        <v>0</v>
      </c>
      <c r="AC19" s="244">
        <f t="shared" si="9"/>
        <v>0</v>
      </c>
    </row>
    <row r="20" spans="1:32" ht="14.9" customHeight="1" x14ac:dyDescent="0.35">
      <c r="B20" s="268" t="s">
        <v>298</v>
      </c>
      <c r="C20" s="258"/>
      <c r="D20" s="262">
        <f t="shared" ref="D20:H20" si="10">D11</f>
        <v>27.1</v>
      </c>
      <c r="E20" s="239">
        <f t="shared" si="10"/>
        <v>29.6</v>
      </c>
      <c r="F20" s="239">
        <f t="shared" si="10"/>
        <v>27.3</v>
      </c>
      <c r="G20" s="239">
        <f t="shared" si="10"/>
        <v>26.4</v>
      </c>
      <c r="H20" s="239">
        <f t="shared" si="10"/>
        <v>26.7</v>
      </c>
      <c r="I20" s="239">
        <f>I11</f>
        <v>40.1</v>
      </c>
      <c r="J20" s="239">
        <f>J11-J13-J12</f>
        <v>171.69999999999996</v>
      </c>
      <c r="K20" s="239">
        <f>K11-K13-K12</f>
        <v>213.7</v>
      </c>
      <c r="L20" s="239">
        <f>L11-L13-L12</f>
        <v>93.299999999999983</v>
      </c>
      <c r="M20" s="239">
        <f>M11-M13-M12</f>
        <v>60.699999999999932</v>
      </c>
      <c r="N20" s="240">
        <f t="shared" ref="N20:U20" si="11">N11-N12-N13</f>
        <v>35.5</v>
      </c>
      <c r="O20" s="240">
        <f t="shared" si="11"/>
        <v>3.5999999999999943</v>
      </c>
      <c r="P20" s="240">
        <f t="shared" si="11"/>
        <v>25.7</v>
      </c>
      <c r="Q20" s="241">
        <f t="shared" si="11"/>
        <v>24.3</v>
      </c>
      <c r="R20" s="241">
        <f t="shared" si="11"/>
        <v>20.599999999999998</v>
      </c>
      <c r="S20" s="243">
        <f t="shared" si="11"/>
        <v>22.6</v>
      </c>
      <c r="T20" s="310">
        <f t="shared" si="11"/>
        <v>25.599999999999998</v>
      </c>
      <c r="U20" s="310">
        <f t="shared" si="11"/>
        <v>30.1</v>
      </c>
      <c r="V20" s="244">
        <f t="shared" ref="V20:AB20" si="12">U20*V23/U23</f>
        <v>39.551400000000001</v>
      </c>
      <c r="W20" s="244">
        <f t="shared" si="12"/>
        <v>42.131399999999999</v>
      </c>
      <c r="X20" s="244">
        <f t="shared" si="12"/>
        <v>43.980399999999996</v>
      </c>
      <c r="Y20" s="244">
        <f t="shared" si="12"/>
        <v>43.851399999999998</v>
      </c>
      <c r="Z20" s="244">
        <f t="shared" si="12"/>
        <v>42.509799999999991</v>
      </c>
      <c r="AA20" s="244">
        <f t="shared" si="12"/>
        <v>41.787399999999991</v>
      </c>
      <c r="AB20" s="244">
        <f t="shared" si="12"/>
        <v>41.271399999999993</v>
      </c>
      <c r="AC20" s="308">
        <f>AB20*AC23/AB23</f>
        <v>41.073599999999992</v>
      </c>
      <c r="AD20" s="263" t="s">
        <v>299</v>
      </c>
    </row>
    <row r="21" spans="1:32" x14ac:dyDescent="0.35">
      <c r="B21" s="252"/>
      <c r="C21" s="253"/>
      <c r="D21" s="271"/>
      <c r="E21" s="241"/>
      <c r="F21" s="241"/>
      <c r="G21" s="241"/>
      <c r="H21" s="237"/>
      <c r="I21" s="237"/>
      <c r="J21" s="237"/>
      <c r="K21" s="237"/>
      <c r="L21" s="237"/>
      <c r="M21" s="237"/>
      <c r="N21" s="237"/>
      <c r="O21" s="237"/>
      <c r="P21" s="237"/>
      <c r="Q21" s="237"/>
      <c r="R21" s="237"/>
      <c r="S21" s="237"/>
      <c r="T21" s="320"/>
      <c r="U21" s="237"/>
      <c r="V21" s="231"/>
      <c r="W21" s="231"/>
      <c r="X21" s="231"/>
      <c r="Y21" s="231"/>
      <c r="Z21" s="231"/>
      <c r="AA21" s="231"/>
      <c r="AB21" s="231"/>
      <c r="AC21" s="311"/>
    </row>
    <row r="22" spans="1:32" x14ac:dyDescent="0.35">
      <c r="B22" s="245" t="s">
        <v>1742</v>
      </c>
      <c r="C22" s="253"/>
      <c r="D22" s="241"/>
      <c r="E22" s="241"/>
      <c r="F22" s="241"/>
      <c r="G22" s="241"/>
      <c r="H22" s="237"/>
      <c r="I22" s="237"/>
      <c r="J22" s="237"/>
      <c r="K22" s="237"/>
      <c r="L22" s="237"/>
      <c r="M22" s="237"/>
      <c r="N22" s="237"/>
      <c r="O22" s="237"/>
      <c r="P22" s="237"/>
      <c r="Q22" s="237"/>
      <c r="R22" s="237"/>
      <c r="S22" s="237"/>
      <c r="T22" s="255"/>
      <c r="U22" s="234"/>
      <c r="V22" s="233">
        <v>4.5990000000000002</v>
      </c>
      <c r="W22" s="233">
        <v>4.899</v>
      </c>
      <c r="X22" s="233">
        <v>5.1139999999999999</v>
      </c>
      <c r="Y22" s="233">
        <v>5.0990000000000002</v>
      </c>
      <c r="Z22" s="233">
        <v>4.9429999999999996</v>
      </c>
      <c r="AA22" s="233">
        <v>4.859</v>
      </c>
      <c r="AB22" s="233">
        <v>4.7990000000000004</v>
      </c>
      <c r="AC22" s="233">
        <v>4.7759999999999998</v>
      </c>
    </row>
    <row r="23" spans="1:32" x14ac:dyDescent="0.35">
      <c r="B23" s="252" t="s">
        <v>1801</v>
      </c>
      <c r="C23" s="313"/>
      <c r="D23" s="314"/>
      <c r="E23" s="315"/>
      <c r="F23" s="315"/>
      <c r="G23" s="315"/>
      <c r="H23" s="316"/>
      <c r="I23" s="316"/>
      <c r="J23" s="316"/>
      <c r="K23" s="316"/>
      <c r="L23" s="316"/>
      <c r="M23" s="316">
        <f>GETPIVOTDATA("Monthly UR",$E$28,"Quarters",M24,"Years",M25)</f>
        <v>6.166666666666667</v>
      </c>
      <c r="N23" s="316">
        <f t="shared" ref="N23:U23" si="13">GETPIVOTDATA("Monthly UR",$E$28,"Quarters",N24,"Years",N25)</f>
        <v>5.7666666666666657</v>
      </c>
      <c r="O23" s="316">
        <f t="shared" si="13"/>
        <v>5.1333333333333337</v>
      </c>
      <c r="P23" s="316">
        <f t="shared" si="13"/>
        <v>4.2333333333333334</v>
      </c>
      <c r="Q23" s="316">
        <f t="shared" si="13"/>
        <v>3.8000000000000003</v>
      </c>
      <c r="R23" s="316">
        <f t="shared" si="13"/>
        <v>3.6</v>
      </c>
      <c r="S23" s="316">
        <f t="shared" si="13"/>
        <v>3.5666666666666664</v>
      </c>
      <c r="T23" s="316">
        <f t="shared" si="13"/>
        <v>3.6</v>
      </c>
      <c r="U23" s="316">
        <f t="shared" si="13"/>
        <v>3.5</v>
      </c>
      <c r="V23" s="321">
        <v>4.5990000000000002</v>
      </c>
      <c r="W23" s="321">
        <v>4.899</v>
      </c>
      <c r="X23" s="321">
        <v>5.1139999999999999</v>
      </c>
      <c r="Y23" s="321">
        <v>5.0990000000000002</v>
      </c>
      <c r="Z23" s="321">
        <v>4.9429999999999996</v>
      </c>
      <c r="AA23" s="321">
        <v>4.859</v>
      </c>
      <c r="AB23" s="321">
        <v>4.7990000000000004</v>
      </c>
      <c r="AC23" s="322">
        <v>4.7759999999999998</v>
      </c>
      <c r="AD23" s="234" t="s">
        <v>300</v>
      </c>
    </row>
    <row r="24" spans="1:32" ht="15.75" customHeight="1" x14ac:dyDescent="0.35">
      <c r="B24" s="318" t="s">
        <v>1815</v>
      </c>
      <c r="C24" s="307"/>
      <c r="D24" s="300"/>
      <c r="E24" s="300"/>
      <c r="F24" s="300"/>
      <c r="G24" s="300"/>
      <c r="H24" s="300"/>
      <c r="I24" s="300"/>
      <c r="J24" s="300"/>
      <c r="K24" s="300"/>
      <c r="L24" s="300"/>
      <c r="M24" s="300">
        <v>1</v>
      </c>
      <c r="N24" s="300">
        <v>2</v>
      </c>
      <c r="O24" s="300">
        <v>3</v>
      </c>
      <c r="P24" s="300">
        <v>4</v>
      </c>
      <c r="Q24" s="300">
        <v>1</v>
      </c>
      <c r="R24" s="300">
        <v>2</v>
      </c>
      <c r="S24" s="300">
        <v>3</v>
      </c>
      <c r="T24" s="300">
        <v>4</v>
      </c>
      <c r="U24" s="300">
        <v>1</v>
      </c>
      <c r="V24" s="300">
        <v>2</v>
      </c>
      <c r="W24" s="300">
        <v>3</v>
      </c>
      <c r="X24" s="300">
        <v>4</v>
      </c>
      <c r="Y24" s="300">
        <v>1</v>
      </c>
      <c r="Z24" s="300">
        <v>2</v>
      </c>
      <c r="AA24" s="300">
        <v>3</v>
      </c>
      <c r="AB24" s="300">
        <v>4</v>
      </c>
      <c r="AC24" s="300">
        <v>1</v>
      </c>
      <c r="AD24" s="229">
        <v>2</v>
      </c>
      <c r="AE24" s="229">
        <v>3</v>
      </c>
      <c r="AF24" s="229">
        <v>4</v>
      </c>
    </row>
    <row r="25" spans="1:32" x14ac:dyDescent="0.35">
      <c r="B25" s="319" t="s">
        <v>1816</v>
      </c>
      <c r="C25" s="307"/>
      <c r="D25" s="300"/>
      <c r="E25" s="300"/>
      <c r="F25" s="300"/>
      <c r="G25" s="300"/>
      <c r="H25" s="300"/>
      <c r="I25" s="300"/>
      <c r="J25" s="300"/>
      <c r="K25" s="300"/>
      <c r="L25" s="300"/>
      <c r="M25" s="300">
        <v>2021</v>
      </c>
      <c r="N25" s="300">
        <v>2021</v>
      </c>
      <c r="O25" s="300">
        <v>2021</v>
      </c>
      <c r="P25" s="300">
        <v>2021</v>
      </c>
      <c r="Q25" s="300">
        <v>2022</v>
      </c>
      <c r="R25" s="300">
        <v>2022</v>
      </c>
      <c r="S25" s="300">
        <v>2022</v>
      </c>
      <c r="T25" s="300">
        <v>2022</v>
      </c>
      <c r="U25" s="300">
        <v>2023</v>
      </c>
      <c r="V25" s="300">
        <v>2023</v>
      </c>
      <c r="W25" s="300">
        <v>2023</v>
      </c>
      <c r="X25" s="300">
        <v>2023</v>
      </c>
      <c r="Y25" s="300">
        <v>2024</v>
      </c>
      <c r="Z25" s="300">
        <v>2024</v>
      </c>
      <c r="AA25" s="300">
        <v>2024</v>
      </c>
      <c r="AB25" s="300">
        <v>2024</v>
      </c>
      <c r="AC25" s="300">
        <v>2025</v>
      </c>
      <c r="AD25" s="234"/>
    </row>
    <row r="26" spans="1:32" x14ac:dyDescent="0.35">
      <c r="C26" s="245"/>
      <c r="D26" s="229"/>
      <c r="E26" s="229"/>
      <c r="F26" s="229"/>
      <c r="G26" s="229"/>
      <c r="H26" s="237"/>
      <c r="I26" s="237"/>
      <c r="J26" s="237"/>
      <c r="K26" s="237"/>
      <c r="L26" s="237"/>
      <c r="M26" s="237"/>
      <c r="N26" s="237"/>
      <c r="O26" s="237"/>
      <c r="P26" s="237"/>
      <c r="AD26" s="234"/>
    </row>
    <row r="27" spans="1:32" x14ac:dyDescent="0.35">
      <c r="M27" s="245"/>
      <c r="N27" s="245"/>
      <c r="O27" s="245"/>
    </row>
    <row r="28" spans="1:32" ht="43.5" customHeight="1" x14ac:dyDescent="0.35">
      <c r="B28" s="278" t="s">
        <v>301</v>
      </c>
      <c r="C28" s="279" t="s">
        <v>302</v>
      </c>
      <c r="D28" s="276"/>
      <c r="E28" s="14" t="s">
        <v>1805</v>
      </c>
      <c r="F28" s="14" t="s">
        <v>1810</v>
      </c>
      <c r="G28" s="14"/>
      <c r="H28" s="14"/>
      <c r="I28" s="14"/>
      <c r="J28" s="14"/>
      <c r="O28" s="280"/>
    </row>
    <row r="29" spans="1:32" x14ac:dyDescent="0.35">
      <c r="A29" s="56"/>
      <c r="B29" s="273">
        <v>44197</v>
      </c>
      <c r="C29" s="235">
        <v>6.3</v>
      </c>
      <c r="D29" s="277"/>
      <c r="E29" s="43" t="s">
        <v>1740</v>
      </c>
      <c r="F29" s="56"/>
      <c r="G29" s="56"/>
      <c r="H29" s="75"/>
      <c r="I29" s="56"/>
      <c r="J29" s="75"/>
      <c r="O29" s="245"/>
    </row>
    <row r="30" spans="1:32" x14ac:dyDescent="0.35">
      <c r="A30" s="56"/>
      <c r="B30" s="273">
        <v>44228</v>
      </c>
      <c r="C30" s="235">
        <v>6.2</v>
      </c>
      <c r="D30" s="277"/>
      <c r="E30" s="119" t="s">
        <v>1806</v>
      </c>
      <c r="F30" s="291">
        <v>6.166666666666667</v>
      </c>
      <c r="G30" s="56"/>
      <c r="H30" s="75"/>
      <c r="I30" s="56"/>
      <c r="J30" s="75"/>
      <c r="O30" s="245"/>
    </row>
    <row r="31" spans="1:32" x14ac:dyDescent="0.35">
      <c r="A31" s="56"/>
      <c r="B31" s="273">
        <v>44256</v>
      </c>
      <c r="C31" s="235">
        <v>6</v>
      </c>
      <c r="D31" s="277"/>
      <c r="E31" s="119" t="s">
        <v>1807</v>
      </c>
      <c r="F31" s="291">
        <v>5.7666666666666657</v>
      </c>
      <c r="G31" s="56"/>
      <c r="H31" s="75"/>
      <c r="I31" s="56"/>
      <c r="J31" s="75"/>
      <c r="O31" s="245"/>
    </row>
    <row r="32" spans="1:32" x14ac:dyDescent="0.35">
      <c r="A32" s="56"/>
      <c r="B32" s="273">
        <v>44287</v>
      </c>
      <c r="C32" s="235">
        <v>6.1</v>
      </c>
      <c r="D32" s="277"/>
      <c r="E32" s="119" t="s">
        <v>1808</v>
      </c>
      <c r="F32" s="291">
        <v>5.1333333333333337</v>
      </c>
      <c r="G32" s="56"/>
      <c r="H32" s="75"/>
      <c r="I32" s="56"/>
      <c r="J32" s="75"/>
      <c r="O32" s="245"/>
    </row>
    <row r="33" spans="1:38" x14ac:dyDescent="0.35">
      <c r="A33" s="56"/>
      <c r="B33" s="273">
        <v>44317</v>
      </c>
      <c r="C33" s="235">
        <v>5.8</v>
      </c>
      <c r="D33" s="277"/>
      <c r="E33" s="119" t="s">
        <v>1809</v>
      </c>
      <c r="F33" s="291">
        <v>4.2333333333333334</v>
      </c>
      <c r="G33" s="56"/>
      <c r="H33" s="75"/>
      <c r="I33" s="56"/>
      <c r="J33" s="75"/>
      <c r="O33" s="245"/>
    </row>
    <row r="34" spans="1:38" x14ac:dyDescent="0.35">
      <c r="A34" s="56"/>
      <c r="B34" s="273">
        <v>44348</v>
      </c>
      <c r="C34" s="235">
        <v>5.4</v>
      </c>
      <c r="D34" s="277"/>
      <c r="E34" s="43" t="s">
        <v>1729</v>
      </c>
      <c r="F34" s="291"/>
      <c r="G34" s="56"/>
      <c r="H34" s="75"/>
      <c r="I34" s="56"/>
      <c r="J34" s="75"/>
      <c r="O34" s="245"/>
    </row>
    <row r="35" spans="1:38" x14ac:dyDescent="0.35">
      <c r="A35" s="56"/>
      <c r="B35" s="273">
        <v>44378</v>
      </c>
      <c r="C35" s="235">
        <v>5.4</v>
      </c>
      <c r="D35" s="277"/>
      <c r="E35" s="119" t="s">
        <v>1806</v>
      </c>
      <c r="F35" s="291">
        <v>3.8000000000000003</v>
      </c>
      <c r="G35" s="56"/>
      <c r="H35" s="75"/>
      <c r="I35" s="56"/>
      <c r="J35" s="75"/>
      <c r="O35" s="245"/>
    </row>
    <row r="36" spans="1:38" x14ac:dyDescent="0.35">
      <c r="A36" s="56"/>
      <c r="B36" s="273">
        <v>44409</v>
      </c>
      <c r="C36" s="235">
        <v>5.2</v>
      </c>
      <c r="D36" s="277"/>
      <c r="E36" s="119" t="s">
        <v>1807</v>
      </c>
      <c r="F36" s="291">
        <v>3.6</v>
      </c>
      <c r="G36" s="56"/>
      <c r="H36" s="75"/>
      <c r="I36" s="56"/>
      <c r="J36" s="75"/>
      <c r="O36" s="245"/>
    </row>
    <row r="37" spans="1:38" x14ac:dyDescent="0.35">
      <c r="A37" s="56"/>
      <c r="B37" s="273">
        <v>44440</v>
      </c>
      <c r="C37" s="235">
        <v>4.8</v>
      </c>
      <c r="D37" s="277"/>
      <c r="E37" s="119" t="s">
        <v>1808</v>
      </c>
      <c r="F37" s="291">
        <v>3.5666666666666664</v>
      </c>
      <c r="G37" s="56"/>
      <c r="H37" s="75"/>
      <c r="I37" s="56"/>
      <c r="J37" s="75"/>
      <c r="O37" s="245"/>
    </row>
    <row r="38" spans="1:38" x14ac:dyDescent="0.35">
      <c r="A38" s="56"/>
      <c r="B38" s="273">
        <v>44470</v>
      </c>
      <c r="C38" s="235">
        <v>4.5999999999999996</v>
      </c>
      <c r="D38" s="277"/>
      <c r="E38" s="119" t="s">
        <v>1809</v>
      </c>
      <c r="F38" s="291">
        <v>3.6</v>
      </c>
      <c r="G38" s="56"/>
      <c r="H38" s="75"/>
      <c r="I38" s="56"/>
      <c r="J38" s="75"/>
      <c r="O38" s="245"/>
    </row>
    <row r="39" spans="1:38" x14ac:dyDescent="0.35">
      <c r="A39" s="56"/>
      <c r="B39" s="273">
        <v>44501</v>
      </c>
      <c r="C39" s="235">
        <v>4.2</v>
      </c>
      <c r="D39" s="277"/>
      <c r="E39" s="43" t="s">
        <v>1811</v>
      </c>
      <c r="F39" s="291"/>
      <c r="G39" s="56"/>
      <c r="H39" s="75"/>
      <c r="I39" s="56"/>
      <c r="J39" s="75"/>
      <c r="O39" s="245"/>
      <c r="AD39" s="245"/>
      <c r="AE39" s="245"/>
      <c r="AF39" s="245"/>
      <c r="AG39" s="245"/>
      <c r="AH39" s="245"/>
      <c r="AI39" s="245"/>
      <c r="AJ39" s="245"/>
      <c r="AK39" s="245"/>
      <c r="AL39" s="245"/>
    </row>
    <row r="40" spans="1:38" x14ac:dyDescent="0.35">
      <c r="A40" s="56"/>
      <c r="B40" s="273">
        <v>44531</v>
      </c>
      <c r="C40" s="235">
        <v>3.9</v>
      </c>
      <c r="D40" s="277"/>
      <c r="E40" s="119" t="s">
        <v>1806</v>
      </c>
      <c r="F40" s="291">
        <v>3.5</v>
      </c>
      <c r="G40" s="56"/>
      <c r="H40" s="75"/>
      <c r="I40" s="56"/>
      <c r="J40" s="75"/>
      <c r="O40" s="245"/>
      <c r="AD40" s="245"/>
      <c r="AE40" s="245"/>
      <c r="AF40" s="245"/>
      <c r="AG40" s="245"/>
      <c r="AH40" s="245"/>
      <c r="AI40" s="245"/>
      <c r="AJ40" s="245"/>
      <c r="AK40" s="245"/>
      <c r="AL40" s="245"/>
    </row>
    <row r="41" spans="1:38" x14ac:dyDescent="0.35">
      <c r="A41" s="56"/>
      <c r="B41" s="273">
        <v>44562</v>
      </c>
      <c r="C41" s="235">
        <v>4</v>
      </c>
      <c r="D41" s="56"/>
      <c r="E41" s="119" t="s">
        <v>1807</v>
      </c>
      <c r="F41" s="291"/>
      <c r="G41" s="56"/>
      <c r="H41" s="75"/>
      <c r="I41" s="56"/>
      <c r="J41" s="75"/>
      <c r="O41" s="245"/>
    </row>
    <row r="42" spans="1:38" x14ac:dyDescent="0.35">
      <c r="A42" s="56"/>
      <c r="B42" s="273">
        <v>44593</v>
      </c>
      <c r="C42" s="235">
        <v>3.8</v>
      </c>
      <c r="D42" s="56"/>
      <c r="E42" s="119" t="s">
        <v>1808</v>
      </c>
      <c r="F42" s="291"/>
      <c r="G42" s="56"/>
      <c r="H42" s="75"/>
      <c r="I42" s="56"/>
      <c r="J42" s="75"/>
    </row>
    <row r="43" spans="1:38" x14ac:dyDescent="0.35">
      <c r="A43" s="56"/>
      <c r="B43" s="273">
        <v>44621</v>
      </c>
      <c r="C43" s="235">
        <v>3.6</v>
      </c>
      <c r="D43" s="56"/>
      <c r="E43" s="119" t="s">
        <v>1809</v>
      </c>
      <c r="F43" s="291"/>
      <c r="G43" s="56"/>
      <c r="H43" s="75"/>
      <c r="I43" s="56"/>
      <c r="J43" s="75"/>
    </row>
    <row r="44" spans="1:38" x14ac:dyDescent="0.35">
      <c r="A44" s="56"/>
      <c r="B44" s="273">
        <v>44652</v>
      </c>
      <c r="C44" s="235">
        <v>3.6</v>
      </c>
      <c r="D44" s="56"/>
      <c r="E44" s="43" t="s">
        <v>1812</v>
      </c>
      <c r="F44" s="291"/>
      <c r="G44" s="56"/>
      <c r="H44" s="75"/>
      <c r="I44" s="56"/>
      <c r="J44" s="75"/>
    </row>
    <row r="45" spans="1:38" x14ac:dyDescent="0.35">
      <c r="A45" s="56"/>
      <c r="B45" s="273">
        <v>44682</v>
      </c>
      <c r="C45" s="235">
        <v>3.6</v>
      </c>
      <c r="D45" s="56"/>
      <c r="E45" s="119" t="s">
        <v>1806</v>
      </c>
      <c r="F45" s="291"/>
      <c r="G45" s="56"/>
      <c r="H45" s="75"/>
      <c r="I45" s="56"/>
      <c r="J45" s="75"/>
    </row>
    <row r="46" spans="1:38" x14ac:dyDescent="0.35">
      <c r="A46" s="56"/>
      <c r="B46" s="273">
        <v>44713</v>
      </c>
      <c r="C46" s="235">
        <v>3.6</v>
      </c>
      <c r="D46" s="56"/>
      <c r="E46" s="119" t="s">
        <v>1807</v>
      </c>
      <c r="F46" s="291"/>
      <c r="G46" s="56"/>
      <c r="H46" s="75"/>
      <c r="I46" s="56"/>
      <c r="J46" s="75"/>
    </row>
    <row r="47" spans="1:38" x14ac:dyDescent="0.35">
      <c r="A47" s="56"/>
      <c r="B47" s="273">
        <v>44743</v>
      </c>
      <c r="C47" s="235">
        <v>3.5</v>
      </c>
      <c r="D47" s="56"/>
      <c r="E47" s="119" t="s">
        <v>1808</v>
      </c>
      <c r="F47" s="291"/>
      <c r="G47" s="56"/>
      <c r="H47" s="75"/>
      <c r="I47" s="56"/>
      <c r="J47" s="75"/>
    </row>
    <row r="48" spans="1:38" x14ac:dyDescent="0.35">
      <c r="A48" s="56"/>
      <c r="B48" s="273">
        <v>44774</v>
      </c>
      <c r="C48" s="235">
        <v>3.7</v>
      </c>
      <c r="D48" s="56"/>
      <c r="E48" s="119" t="s">
        <v>1809</v>
      </c>
      <c r="F48" s="291"/>
      <c r="G48" s="56"/>
      <c r="H48" s="75"/>
      <c r="I48" s="56"/>
      <c r="J48" s="75"/>
    </row>
    <row r="49" spans="2:10" x14ac:dyDescent="0.35">
      <c r="B49" s="273">
        <v>44805</v>
      </c>
      <c r="C49" s="235">
        <v>3.5</v>
      </c>
      <c r="D49" s="56"/>
      <c r="E49" s="43" t="s">
        <v>1813</v>
      </c>
      <c r="F49" s="291"/>
      <c r="G49" s="56"/>
      <c r="H49" s="56"/>
      <c r="I49" s="56"/>
      <c r="J49" s="56"/>
    </row>
    <row r="50" spans="2:10" x14ac:dyDescent="0.35">
      <c r="B50" s="273">
        <v>44835</v>
      </c>
      <c r="C50" s="235">
        <v>3.7</v>
      </c>
      <c r="D50" s="56"/>
      <c r="E50" s="119" t="s">
        <v>1806</v>
      </c>
      <c r="F50" s="291"/>
      <c r="G50" s="56"/>
      <c r="H50" s="56"/>
      <c r="I50" s="56"/>
      <c r="J50" s="56"/>
    </row>
    <row r="51" spans="2:10" x14ac:dyDescent="0.35">
      <c r="B51" s="273">
        <v>44866</v>
      </c>
      <c r="C51" s="235">
        <v>3.6</v>
      </c>
      <c r="D51" s="56"/>
      <c r="E51" s="119" t="s">
        <v>1807</v>
      </c>
      <c r="F51" s="291"/>
      <c r="G51" s="56"/>
      <c r="H51" s="56"/>
      <c r="I51" s="56"/>
      <c r="J51" s="56"/>
    </row>
    <row r="52" spans="2:10" x14ac:dyDescent="0.35">
      <c r="B52" s="273">
        <v>44896</v>
      </c>
      <c r="C52" s="235">
        <v>3.5</v>
      </c>
      <c r="D52" s="56"/>
      <c r="E52" s="119" t="s">
        <v>1808</v>
      </c>
      <c r="F52" s="291"/>
      <c r="G52" s="56"/>
      <c r="H52" s="56"/>
      <c r="I52" s="56"/>
      <c r="J52" s="56"/>
    </row>
    <row r="53" spans="2:10" x14ac:dyDescent="0.35">
      <c r="B53" s="273">
        <v>44927</v>
      </c>
      <c r="C53" s="235">
        <v>3.4</v>
      </c>
      <c r="D53" s="56"/>
      <c r="E53" s="119" t="s">
        <v>1809</v>
      </c>
      <c r="F53" s="291"/>
      <c r="G53" s="56"/>
      <c r="H53" s="56"/>
      <c r="I53" s="56"/>
      <c r="J53" s="56"/>
    </row>
    <row r="54" spans="2:10" x14ac:dyDescent="0.35">
      <c r="B54" s="273">
        <v>44958</v>
      </c>
      <c r="C54" s="235">
        <v>3.6</v>
      </c>
      <c r="D54" s="56"/>
      <c r="E54" s="43" t="s">
        <v>1814</v>
      </c>
      <c r="F54" s="291"/>
      <c r="G54" s="56"/>
      <c r="H54" s="56"/>
      <c r="I54" s="56"/>
      <c r="J54" s="56"/>
    </row>
    <row r="55" spans="2:10" x14ac:dyDescent="0.35">
      <c r="B55" s="273">
        <v>44986</v>
      </c>
      <c r="C55" s="235">
        <v>3.5</v>
      </c>
      <c r="D55" s="56"/>
      <c r="E55" s="119" t="s">
        <v>1806</v>
      </c>
      <c r="F55" s="291"/>
      <c r="G55" s="56"/>
      <c r="H55" s="56"/>
      <c r="I55" s="56"/>
      <c r="J55" s="56"/>
    </row>
    <row r="56" spans="2:10" x14ac:dyDescent="0.35">
      <c r="B56" s="273">
        <v>45017</v>
      </c>
      <c r="C56" s="235"/>
      <c r="D56" s="56"/>
      <c r="E56" s="119" t="s">
        <v>1807</v>
      </c>
      <c r="F56" s="291"/>
      <c r="G56" s="56"/>
      <c r="H56" s="56"/>
      <c r="I56" s="56"/>
      <c r="J56" s="56"/>
    </row>
    <row r="57" spans="2:10" x14ac:dyDescent="0.35">
      <c r="B57" s="273">
        <v>45047</v>
      </c>
      <c r="C57" s="235"/>
      <c r="D57" s="56"/>
      <c r="E57" s="119" t="s">
        <v>1808</v>
      </c>
      <c r="F57" s="291"/>
      <c r="G57" s="56"/>
      <c r="H57" s="56"/>
      <c r="I57" s="56"/>
      <c r="J57" s="56"/>
    </row>
    <row r="58" spans="2:10" x14ac:dyDescent="0.35">
      <c r="B58" s="273">
        <v>45078</v>
      </c>
      <c r="C58" s="235"/>
      <c r="D58" s="56"/>
      <c r="E58" s="119" t="s">
        <v>1809</v>
      </c>
      <c r="F58" s="291"/>
      <c r="G58" s="56"/>
      <c r="H58" s="56"/>
      <c r="I58" s="56"/>
      <c r="J58" s="56"/>
    </row>
    <row r="59" spans="2:10" x14ac:dyDescent="0.35">
      <c r="B59" s="273">
        <v>45108</v>
      </c>
      <c r="C59" s="235"/>
      <c r="D59" s="56"/>
      <c r="E59" s="56"/>
      <c r="F59" s="56"/>
      <c r="G59" s="56"/>
      <c r="H59" s="56"/>
      <c r="I59" s="56"/>
      <c r="J59" s="56"/>
    </row>
    <row r="60" spans="2:10" x14ac:dyDescent="0.35">
      <c r="B60" s="273">
        <v>45139</v>
      </c>
      <c r="C60" s="235"/>
      <c r="D60" s="56"/>
      <c r="E60" s="56"/>
      <c r="F60" s="56"/>
      <c r="G60" s="56"/>
      <c r="H60" s="56"/>
      <c r="I60" s="56"/>
      <c r="J60" s="56"/>
    </row>
    <row r="61" spans="2:10" x14ac:dyDescent="0.35">
      <c r="B61" s="273">
        <v>45170</v>
      </c>
      <c r="C61" s="235"/>
      <c r="D61" s="56"/>
      <c r="E61" s="56"/>
      <c r="F61" s="56"/>
      <c r="G61" s="56"/>
      <c r="H61" s="56"/>
      <c r="I61" s="56"/>
      <c r="J61" s="56"/>
    </row>
    <row r="62" spans="2:10" x14ac:dyDescent="0.35">
      <c r="B62" s="273">
        <v>45200</v>
      </c>
      <c r="C62" s="235"/>
      <c r="D62" s="56"/>
      <c r="E62" s="56"/>
      <c r="F62" s="56"/>
      <c r="G62" s="56"/>
      <c r="H62" s="56"/>
      <c r="I62" s="56"/>
      <c r="J62" s="56"/>
    </row>
    <row r="63" spans="2:10" x14ac:dyDescent="0.35">
      <c r="B63" s="273">
        <v>45231</v>
      </c>
      <c r="C63" s="235"/>
      <c r="D63" s="56"/>
      <c r="E63" s="56"/>
      <c r="F63" s="56"/>
      <c r="G63" s="56"/>
      <c r="H63" s="56"/>
      <c r="I63" s="56"/>
      <c r="J63" s="56"/>
    </row>
    <row r="64" spans="2:10" x14ac:dyDescent="0.35">
      <c r="B64" s="273">
        <v>45261</v>
      </c>
      <c r="C64" s="235"/>
      <c r="D64" s="56"/>
      <c r="E64" s="56"/>
      <c r="F64" s="56"/>
      <c r="G64" s="56"/>
      <c r="H64" s="56"/>
      <c r="I64" s="56"/>
      <c r="J64" s="56"/>
    </row>
    <row r="65" spans="2:10" x14ac:dyDescent="0.35">
      <c r="B65" s="273">
        <v>45292</v>
      </c>
      <c r="C65" s="235"/>
      <c r="D65" s="56"/>
      <c r="E65" s="56"/>
      <c r="F65" s="56"/>
      <c r="G65" s="56"/>
      <c r="H65" s="56"/>
      <c r="I65" s="56"/>
      <c r="J65" s="56"/>
    </row>
    <row r="66" spans="2:10" x14ac:dyDescent="0.35">
      <c r="B66" s="273">
        <v>45323</v>
      </c>
      <c r="C66" s="235"/>
      <c r="D66" s="56"/>
      <c r="E66" s="56"/>
      <c r="F66" s="56"/>
      <c r="G66" s="56"/>
      <c r="H66" s="56"/>
      <c r="I66" s="56"/>
      <c r="J66" s="56"/>
    </row>
    <row r="67" spans="2:10" x14ac:dyDescent="0.35">
      <c r="B67" s="273">
        <v>45352</v>
      </c>
      <c r="C67" s="235"/>
      <c r="D67" s="56"/>
      <c r="E67" s="56"/>
      <c r="F67" s="56"/>
      <c r="G67" s="56"/>
      <c r="H67" s="56"/>
      <c r="I67" s="56"/>
      <c r="J67" s="56"/>
    </row>
    <row r="68" spans="2:10" x14ac:dyDescent="0.35">
      <c r="B68" s="273">
        <v>45383</v>
      </c>
      <c r="C68" s="235"/>
      <c r="D68" s="56"/>
      <c r="E68" s="56"/>
      <c r="F68" s="56"/>
      <c r="G68" s="56"/>
      <c r="H68" s="56"/>
      <c r="I68" s="56"/>
      <c r="J68" s="56"/>
    </row>
    <row r="69" spans="2:10" x14ac:dyDescent="0.35">
      <c r="B69" s="273">
        <v>45413</v>
      </c>
      <c r="C69" s="235"/>
      <c r="D69" s="56"/>
      <c r="E69" s="56"/>
      <c r="F69" s="56"/>
      <c r="G69" s="56"/>
      <c r="H69" s="56"/>
      <c r="I69" s="56"/>
      <c r="J69" s="56"/>
    </row>
    <row r="70" spans="2:10" x14ac:dyDescent="0.35">
      <c r="B70" s="273">
        <v>45444</v>
      </c>
      <c r="C70" s="235"/>
      <c r="D70" s="56"/>
      <c r="E70" s="56"/>
      <c r="F70" s="56"/>
      <c r="G70" s="56"/>
      <c r="H70" s="56"/>
      <c r="I70" s="56"/>
      <c r="J70" s="56"/>
    </row>
    <row r="71" spans="2:10" x14ac:dyDescent="0.35">
      <c r="B71" s="273">
        <v>45474</v>
      </c>
      <c r="C71" s="235"/>
      <c r="D71" s="56"/>
      <c r="E71" s="56"/>
      <c r="F71" s="56"/>
      <c r="G71" s="56"/>
      <c r="H71" s="56"/>
      <c r="I71" s="56"/>
      <c r="J71" s="56"/>
    </row>
    <row r="72" spans="2:10" x14ac:dyDescent="0.35">
      <c r="B72" s="273">
        <v>45505</v>
      </c>
      <c r="C72" s="235"/>
      <c r="D72" s="56"/>
      <c r="E72" s="56"/>
      <c r="F72" s="56"/>
      <c r="G72" s="56"/>
      <c r="H72" s="56"/>
      <c r="I72" s="56"/>
      <c r="J72" s="56"/>
    </row>
    <row r="73" spans="2:10" x14ac:dyDescent="0.35">
      <c r="B73" s="273">
        <v>45536</v>
      </c>
      <c r="C73" s="235"/>
      <c r="D73" s="56"/>
      <c r="E73" s="56"/>
      <c r="F73" s="56"/>
      <c r="G73" s="56"/>
      <c r="H73" s="56"/>
      <c r="I73" s="56"/>
      <c r="J73" s="56"/>
    </row>
    <row r="74" spans="2:10" x14ac:dyDescent="0.35">
      <c r="B74" s="273">
        <v>45566</v>
      </c>
      <c r="C74" s="235"/>
      <c r="D74" s="56"/>
      <c r="E74" s="56"/>
      <c r="F74" s="56"/>
      <c r="G74" s="56"/>
      <c r="H74" s="56"/>
      <c r="I74" s="56"/>
      <c r="J74" s="56"/>
    </row>
    <row r="75" spans="2:10" x14ac:dyDescent="0.35">
      <c r="B75" s="273">
        <v>45597</v>
      </c>
      <c r="C75" s="235"/>
      <c r="D75" s="56"/>
      <c r="E75" s="56"/>
      <c r="F75" s="56"/>
      <c r="G75" s="56"/>
      <c r="H75" s="56"/>
      <c r="I75" s="56"/>
      <c r="J75" s="56"/>
    </row>
    <row r="76" spans="2:10" x14ac:dyDescent="0.35">
      <c r="B76" s="273">
        <v>45627</v>
      </c>
      <c r="C76" s="235"/>
      <c r="D76" s="56"/>
      <c r="E76" s="56"/>
      <c r="F76" s="56"/>
      <c r="G76" s="56"/>
      <c r="H76" s="56"/>
      <c r="I76" s="56"/>
      <c r="J76" s="56"/>
    </row>
    <row r="77" spans="2:10" x14ac:dyDescent="0.35">
      <c r="B77" s="273">
        <v>45658</v>
      </c>
      <c r="C77" s="235"/>
      <c r="D77" s="56"/>
      <c r="E77" s="56"/>
      <c r="F77" s="56"/>
      <c r="G77" s="56"/>
      <c r="H77" s="56"/>
      <c r="I77" s="56"/>
      <c r="J77" s="56"/>
    </row>
    <row r="78" spans="2:10" x14ac:dyDescent="0.35">
      <c r="B78" s="273">
        <v>45689</v>
      </c>
      <c r="C78" s="235"/>
      <c r="D78" s="56"/>
      <c r="E78" s="56"/>
      <c r="F78" s="56"/>
      <c r="G78" s="56"/>
      <c r="H78" s="56"/>
      <c r="I78" s="56"/>
      <c r="J78" s="56"/>
    </row>
    <row r="79" spans="2:10" x14ac:dyDescent="0.35">
      <c r="B79" s="273">
        <v>45717</v>
      </c>
      <c r="C79" s="235"/>
      <c r="D79" s="56"/>
      <c r="E79" s="56"/>
      <c r="F79" s="56"/>
      <c r="G79" s="56"/>
      <c r="H79" s="56"/>
      <c r="I79" s="56"/>
      <c r="J79" s="56"/>
    </row>
    <row r="80" spans="2:10" x14ac:dyDescent="0.35">
      <c r="B80" s="273">
        <v>45748</v>
      </c>
      <c r="C80" s="235"/>
      <c r="D80" s="56"/>
      <c r="E80" s="56"/>
      <c r="F80" s="56"/>
      <c r="G80" s="56"/>
      <c r="H80" s="56"/>
      <c r="I80" s="56"/>
      <c r="J80" s="56"/>
    </row>
    <row r="81" spans="2:10" x14ac:dyDescent="0.35">
      <c r="B81" s="273">
        <v>45778</v>
      </c>
      <c r="C81" s="235"/>
      <c r="D81" s="56"/>
      <c r="E81" s="56"/>
      <c r="F81" s="56"/>
      <c r="G81" s="56"/>
      <c r="H81" s="56"/>
      <c r="I81" s="56"/>
      <c r="J81" s="56"/>
    </row>
    <row r="82" spans="2:10" x14ac:dyDescent="0.35">
      <c r="B82" s="273">
        <v>45809</v>
      </c>
      <c r="C82" s="235"/>
      <c r="D82" s="56"/>
      <c r="E82" s="56"/>
      <c r="F82" s="56"/>
      <c r="G82" s="56"/>
      <c r="H82" s="56"/>
      <c r="I82" s="56"/>
      <c r="J82" s="56"/>
    </row>
    <row r="83" spans="2:10" x14ac:dyDescent="0.35">
      <c r="B83" s="273">
        <v>45839</v>
      </c>
      <c r="C83" s="235"/>
      <c r="D83" s="56"/>
      <c r="E83" s="56"/>
      <c r="F83" s="56"/>
      <c r="G83" s="56"/>
      <c r="H83" s="56"/>
      <c r="I83" s="56"/>
      <c r="J83" s="56"/>
    </row>
    <row r="84" spans="2:10" x14ac:dyDescent="0.35">
      <c r="B84" s="273">
        <v>45870</v>
      </c>
      <c r="C84" s="235"/>
      <c r="D84" s="56"/>
      <c r="E84" s="56"/>
      <c r="F84" s="56"/>
      <c r="G84" s="56"/>
      <c r="H84" s="56"/>
      <c r="I84" s="56"/>
      <c r="J84" s="56"/>
    </row>
    <row r="85" spans="2:10" x14ac:dyDescent="0.35">
      <c r="B85" s="273">
        <v>45901</v>
      </c>
      <c r="C85" s="235"/>
      <c r="D85" s="56"/>
      <c r="E85" s="56"/>
      <c r="F85" s="56"/>
      <c r="G85" s="56"/>
      <c r="H85" s="56"/>
      <c r="I85" s="56"/>
      <c r="J85" s="56"/>
    </row>
    <row r="86" spans="2:10" x14ac:dyDescent="0.35">
      <c r="B86" s="273">
        <v>45931</v>
      </c>
      <c r="C86" s="235"/>
      <c r="D86" s="56"/>
      <c r="E86" s="56"/>
      <c r="F86" s="56"/>
      <c r="G86" s="56"/>
      <c r="H86" s="56"/>
      <c r="I86" s="56"/>
      <c r="J86" s="56"/>
    </row>
    <row r="87" spans="2:10" x14ac:dyDescent="0.35">
      <c r="B87" s="273">
        <v>45962</v>
      </c>
      <c r="C87" s="235"/>
      <c r="D87" s="56"/>
      <c r="E87" s="56"/>
      <c r="F87" s="56"/>
      <c r="G87" s="56"/>
      <c r="H87" s="56"/>
      <c r="I87" s="56"/>
      <c r="J87" s="56"/>
    </row>
    <row r="88" spans="2:10" x14ac:dyDescent="0.35">
      <c r="B88" s="273">
        <v>45992</v>
      </c>
      <c r="C88" s="235"/>
      <c r="D88" s="56"/>
      <c r="E88" s="56"/>
      <c r="F88" s="56"/>
      <c r="G88" s="56"/>
      <c r="H88" s="56"/>
      <c r="I88" s="56"/>
      <c r="J88" s="56"/>
    </row>
    <row r="89" spans="2:10" x14ac:dyDescent="0.35">
      <c r="B89" s="273">
        <v>46023</v>
      </c>
      <c r="C89" s="235"/>
      <c r="D89" s="56"/>
      <c r="E89" s="56"/>
      <c r="F89" s="56"/>
      <c r="G89" s="56"/>
      <c r="H89" s="56"/>
      <c r="I89" s="56"/>
      <c r="J89" s="56"/>
    </row>
    <row r="90" spans="2:10" x14ac:dyDescent="0.35">
      <c r="B90" s="273">
        <v>46054</v>
      </c>
      <c r="C90" s="235"/>
      <c r="D90" s="56"/>
      <c r="E90" s="56"/>
      <c r="F90" s="56"/>
      <c r="G90" s="56"/>
      <c r="H90" s="56"/>
      <c r="I90" s="56"/>
      <c r="J90" s="56"/>
    </row>
    <row r="91" spans="2:10" x14ac:dyDescent="0.35">
      <c r="B91" s="273">
        <v>46082</v>
      </c>
      <c r="C91" s="235"/>
      <c r="D91" s="56"/>
      <c r="E91" s="56"/>
      <c r="F91" s="56"/>
      <c r="G91" s="56"/>
      <c r="H91" s="56"/>
      <c r="I91" s="56"/>
      <c r="J91" s="56"/>
    </row>
    <row r="92" spans="2:10" x14ac:dyDescent="0.35">
      <c r="B92" s="273">
        <v>46113</v>
      </c>
      <c r="C92" s="235"/>
      <c r="D92" s="56"/>
      <c r="E92" s="56"/>
      <c r="F92" s="56"/>
      <c r="G92" s="56"/>
      <c r="H92" s="56"/>
      <c r="I92" s="56"/>
      <c r="J92" s="56"/>
    </row>
    <row r="93" spans="2:10" x14ac:dyDescent="0.35">
      <c r="B93" s="273">
        <v>46143</v>
      </c>
      <c r="C93" s="235"/>
      <c r="D93" s="56"/>
      <c r="E93" s="56"/>
      <c r="F93" s="56"/>
      <c r="G93" s="56"/>
      <c r="H93" s="56"/>
      <c r="I93" s="56"/>
      <c r="J93" s="56"/>
    </row>
    <row r="94" spans="2:10" x14ac:dyDescent="0.35">
      <c r="B94" s="273">
        <v>46174</v>
      </c>
      <c r="C94" s="235"/>
      <c r="D94" s="56"/>
      <c r="E94" s="56"/>
      <c r="F94" s="56"/>
      <c r="G94" s="56"/>
      <c r="H94" s="56"/>
      <c r="I94" s="56"/>
      <c r="J94" s="56"/>
    </row>
    <row r="95" spans="2:10" x14ac:dyDescent="0.35">
      <c r="B95" s="273">
        <v>46204</v>
      </c>
      <c r="C95" s="235"/>
      <c r="D95" s="56"/>
      <c r="E95" s="56"/>
      <c r="F95" s="56"/>
      <c r="G95" s="56"/>
      <c r="H95" s="56"/>
      <c r="I95" s="56"/>
      <c r="J95" s="56"/>
    </row>
    <row r="96" spans="2:10" x14ac:dyDescent="0.35">
      <c r="B96" s="273">
        <v>46235</v>
      </c>
      <c r="C96" s="235"/>
      <c r="D96" s="56"/>
      <c r="E96" s="56"/>
      <c r="F96" s="56"/>
      <c r="G96" s="56"/>
      <c r="H96" s="56"/>
      <c r="I96" s="56"/>
      <c r="J96" s="56"/>
    </row>
    <row r="97" spans="2:10" x14ac:dyDescent="0.35">
      <c r="B97" s="273">
        <v>46266</v>
      </c>
      <c r="C97" s="235"/>
      <c r="D97" s="56"/>
      <c r="E97" s="56"/>
      <c r="F97" s="56"/>
      <c r="G97" s="56"/>
      <c r="H97" s="56"/>
      <c r="I97" s="56"/>
      <c r="J97" s="56"/>
    </row>
    <row r="98" spans="2:10" x14ac:dyDescent="0.35">
      <c r="B98" s="273">
        <v>46296</v>
      </c>
      <c r="C98" s="235"/>
      <c r="D98" s="56"/>
      <c r="E98" s="56"/>
      <c r="F98" s="56"/>
      <c r="G98" s="56"/>
      <c r="H98" s="56"/>
      <c r="I98" s="56"/>
      <c r="J98" s="56"/>
    </row>
    <row r="99" spans="2:10" x14ac:dyDescent="0.35">
      <c r="B99" s="273">
        <v>46327</v>
      </c>
      <c r="C99" s="235"/>
      <c r="D99" s="56"/>
      <c r="E99" s="56"/>
      <c r="F99" s="56"/>
      <c r="G99" s="56"/>
      <c r="H99" s="56"/>
      <c r="I99" s="56"/>
      <c r="J99" s="56"/>
    </row>
    <row r="100" spans="2:10" x14ac:dyDescent="0.35">
      <c r="B100" s="274">
        <v>46357</v>
      </c>
      <c r="C100" s="236"/>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r:id="rId2"/>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I60" activePane="bottomRight" state="frozen"/>
      <selection pane="topRight" activeCell="C1" sqref="C1"/>
      <selection pane="bottomLeft" activeCell="A5" sqref="A5"/>
      <selection pane="bottomRight" activeCell="AC74" sqref="AC74"/>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253" t="s">
        <v>192</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219"/>
      <c r="AA1" s="219"/>
      <c r="AB1" s="219"/>
      <c r="AC1" s="219"/>
      <c r="AD1" s="219"/>
      <c r="AE1" s="219"/>
      <c r="AF1" s="219"/>
      <c r="AG1" s="219"/>
      <c r="AH1" s="219"/>
      <c r="AI1" s="219"/>
      <c r="AJ1" s="219"/>
      <c r="AK1" s="219"/>
      <c r="AL1" s="219"/>
      <c r="AM1" s="219"/>
      <c r="AN1" s="219"/>
      <c r="AO1" s="328"/>
      <c r="AP1" s="328"/>
    </row>
    <row r="2" spans="2:45" ht="14.25" customHeight="1" x14ac:dyDescent="0.35">
      <c r="B2" s="1346" t="s">
        <v>331</v>
      </c>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6"/>
      <c r="AA2" s="1346"/>
      <c r="AB2" s="1346"/>
      <c r="AC2" s="1346"/>
      <c r="AD2" s="220"/>
      <c r="AE2" s="220"/>
      <c r="AF2" s="220"/>
      <c r="AG2" s="220"/>
      <c r="AH2" s="220"/>
      <c r="AI2" s="220"/>
      <c r="AJ2" s="220"/>
      <c r="AK2" s="220"/>
      <c r="AL2" s="220"/>
      <c r="AM2" s="220"/>
      <c r="AN2" s="220"/>
      <c r="AO2" s="220"/>
      <c r="AP2" s="220"/>
    </row>
    <row r="3" spans="2:45" ht="50.9" customHeight="1" x14ac:dyDescent="0.35">
      <c r="B3" s="1346"/>
      <c r="C3" s="1346"/>
      <c r="D3" s="1346"/>
      <c r="E3" s="1346"/>
      <c r="F3" s="1346"/>
      <c r="G3" s="1346"/>
      <c r="H3" s="1346"/>
      <c r="I3" s="1346"/>
      <c r="J3" s="1346"/>
      <c r="K3" s="1346"/>
      <c r="L3" s="1346"/>
      <c r="M3" s="1346"/>
      <c r="N3" s="1346"/>
      <c r="O3" s="1346"/>
      <c r="P3" s="1346"/>
      <c r="Q3" s="1346"/>
      <c r="R3" s="1346"/>
      <c r="S3" s="1346"/>
      <c r="T3" s="1346"/>
      <c r="U3" s="1346"/>
      <c r="V3" s="1346"/>
      <c r="W3" s="1346"/>
      <c r="X3" s="1346"/>
      <c r="Y3" s="1346"/>
      <c r="Z3" s="1346"/>
      <c r="AA3" s="1346"/>
      <c r="AB3" s="1346"/>
      <c r="AC3" s="1346"/>
      <c r="AD3" s="220"/>
      <c r="AE3" s="220"/>
      <c r="AF3" s="220"/>
      <c r="AG3" s="220"/>
      <c r="AH3" s="220"/>
      <c r="AI3" s="220"/>
      <c r="AJ3" s="220"/>
      <c r="AK3" s="220"/>
      <c r="AL3" s="220"/>
      <c r="AM3" s="220"/>
      <c r="AN3" s="220"/>
      <c r="AO3" s="220"/>
      <c r="AP3" s="220"/>
    </row>
    <row r="4" spans="2:45" ht="5.25" customHeight="1" x14ac:dyDescent="0.35">
      <c r="B4" s="1346"/>
      <c r="C4" s="1346"/>
      <c r="D4" s="1346"/>
      <c r="E4" s="1346"/>
      <c r="F4" s="1346"/>
      <c r="G4" s="1346"/>
      <c r="H4" s="1346"/>
      <c r="I4" s="1346"/>
      <c r="J4" s="1346"/>
      <c r="K4" s="1346"/>
      <c r="L4" s="1346"/>
      <c r="M4" s="1346"/>
      <c r="N4" s="1346"/>
      <c r="O4" s="1346"/>
      <c r="P4" s="1346"/>
      <c r="Q4" s="1346"/>
      <c r="R4" s="1346"/>
      <c r="S4" s="1346"/>
      <c r="T4" s="1346"/>
      <c r="U4" s="1346"/>
      <c r="V4" s="1346"/>
      <c r="W4" s="1346"/>
      <c r="X4" s="1346"/>
      <c r="Y4" s="1346"/>
      <c r="Z4" s="1346"/>
      <c r="AA4" s="1346"/>
      <c r="AB4" s="1346"/>
      <c r="AC4" s="1346"/>
      <c r="AD4" s="220"/>
      <c r="AE4" s="220"/>
      <c r="AF4" s="220"/>
      <c r="AG4" s="220"/>
      <c r="AH4" s="220"/>
      <c r="AI4" s="220"/>
      <c r="AJ4" s="220"/>
      <c r="AK4" s="220"/>
      <c r="AL4" s="220"/>
      <c r="AM4" s="220"/>
      <c r="AN4" s="220"/>
      <c r="AO4" s="220"/>
      <c r="AP4" s="220"/>
    </row>
    <row r="5" spans="2:45" x14ac:dyDescent="0.35">
      <c r="B5" s="406" t="s">
        <v>332</v>
      </c>
    </row>
    <row r="6" spans="2:45" ht="14.9" customHeight="1" x14ac:dyDescent="0.35">
      <c r="B6" s="1256" t="s">
        <v>333</v>
      </c>
      <c r="C6" s="1257"/>
      <c r="D6" s="1276" t="s">
        <v>279</v>
      </c>
      <c r="E6" s="1277"/>
      <c r="F6" s="1277"/>
      <c r="G6" s="1277"/>
      <c r="H6" s="1277"/>
      <c r="I6" s="1277"/>
      <c r="J6" s="1277"/>
      <c r="K6" s="1277"/>
      <c r="L6" s="1277"/>
      <c r="M6" s="1277"/>
      <c r="N6" s="1277"/>
      <c r="O6" s="1277"/>
      <c r="P6" s="1277"/>
      <c r="Q6" s="1277"/>
      <c r="R6" s="1277"/>
      <c r="S6" s="1277"/>
      <c r="T6" s="1277"/>
      <c r="U6" s="1277"/>
      <c r="V6" s="1277"/>
      <c r="W6" s="1277"/>
      <c r="X6" s="1277"/>
      <c r="Y6" s="1277"/>
      <c r="Z6" s="1277"/>
      <c r="AA6" s="1277"/>
      <c r="AB6" s="1278"/>
      <c r="AC6" s="1261" t="s">
        <v>280</v>
      </c>
      <c r="AD6" s="1262"/>
      <c r="AE6" s="1262"/>
      <c r="AF6" s="1262"/>
      <c r="AG6" s="1262"/>
      <c r="AH6" s="1262"/>
      <c r="AI6" s="1262"/>
      <c r="AJ6" s="1262"/>
      <c r="AK6" s="1262"/>
      <c r="AL6" s="1262"/>
      <c r="AM6" s="1262"/>
      <c r="AN6" s="1263"/>
      <c r="AO6" s="1364" t="s">
        <v>334</v>
      </c>
      <c r="AP6" s="1364" t="s">
        <v>335</v>
      </c>
    </row>
    <row r="7" spans="2:45" ht="24" customHeight="1" x14ac:dyDescent="0.35">
      <c r="B7" s="1258"/>
      <c r="C7" s="1350"/>
      <c r="D7" s="221">
        <v>2018</v>
      </c>
      <c r="E7" s="1347">
        <v>2019</v>
      </c>
      <c r="F7" s="1348"/>
      <c r="G7" s="1348"/>
      <c r="H7" s="1349"/>
      <c r="I7" s="1347">
        <v>2020</v>
      </c>
      <c r="J7" s="1348"/>
      <c r="K7" s="1348"/>
      <c r="L7" s="1348"/>
      <c r="M7" s="1347">
        <v>2021</v>
      </c>
      <c r="N7" s="1348"/>
      <c r="O7" s="1348"/>
      <c r="P7" s="1348"/>
      <c r="Q7" s="1347">
        <v>2022</v>
      </c>
      <c r="R7" s="1348"/>
      <c r="S7" s="1348"/>
      <c r="T7" s="1348"/>
      <c r="U7" s="329"/>
      <c r="V7" s="330">
        <v>2023</v>
      </c>
      <c r="W7" s="330"/>
      <c r="X7" s="331"/>
      <c r="Y7" s="289"/>
      <c r="Z7" s="227">
        <v>2024</v>
      </c>
      <c r="AA7" s="227"/>
      <c r="AB7" s="226"/>
      <c r="AC7" s="1372">
        <v>2025</v>
      </c>
      <c r="AD7" s="1373"/>
      <c r="AE7" s="1373"/>
      <c r="AF7" s="1373"/>
      <c r="AG7" s="1270">
        <v>2026</v>
      </c>
      <c r="AH7" s="1271"/>
      <c r="AI7" s="1271"/>
      <c r="AJ7" s="1272"/>
      <c r="AK7" s="1270">
        <v>2027</v>
      </c>
      <c r="AL7" s="1271"/>
      <c r="AM7" s="1271"/>
      <c r="AN7" s="1272"/>
      <c r="AO7" s="1365"/>
      <c r="AP7" s="1365"/>
    </row>
    <row r="8" spans="2:45" ht="14.25" customHeight="1" x14ac:dyDescent="0.35">
      <c r="B8" s="1274"/>
      <c r="C8" s="1351"/>
      <c r="D8" s="221" t="s">
        <v>281</v>
      </c>
      <c r="E8" s="221" t="s">
        <v>282</v>
      </c>
      <c r="F8" s="222" t="s">
        <v>283</v>
      </c>
      <c r="G8" s="222" t="s">
        <v>238</v>
      </c>
      <c r="H8" s="228" t="s">
        <v>281</v>
      </c>
      <c r="I8" s="222" t="s">
        <v>282</v>
      </c>
      <c r="J8" s="222" t="s">
        <v>283</v>
      </c>
      <c r="K8" s="222" t="s">
        <v>238</v>
      </c>
      <c r="L8" s="222" t="s">
        <v>281</v>
      </c>
      <c r="M8" s="221" t="s">
        <v>282</v>
      </c>
      <c r="N8" s="222" t="s">
        <v>283</v>
      </c>
      <c r="O8" s="222" t="s">
        <v>238</v>
      </c>
      <c r="P8" s="222" t="s">
        <v>281</v>
      </c>
      <c r="Q8" s="221" t="s">
        <v>282</v>
      </c>
      <c r="R8" s="222" t="s">
        <v>283</v>
      </c>
      <c r="S8" s="222" t="s">
        <v>238</v>
      </c>
      <c r="T8" s="222" t="s">
        <v>281</v>
      </c>
      <c r="U8" s="282" t="s">
        <v>282</v>
      </c>
      <c r="V8" s="283" t="s">
        <v>283</v>
      </c>
      <c r="W8" s="283" t="s">
        <v>238</v>
      </c>
      <c r="X8" s="281" t="s">
        <v>281</v>
      </c>
      <c r="Y8" s="282" t="s">
        <v>282</v>
      </c>
      <c r="Z8" s="288" t="s">
        <v>283</v>
      </c>
      <c r="AA8" s="283" t="s">
        <v>238</v>
      </c>
      <c r="AB8" s="281" t="s">
        <v>281</v>
      </c>
      <c r="AC8" s="282" t="s">
        <v>282</v>
      </c>
      <c r="AD8" s="267" t="s">
        <v>283</v>
      </c>
      <c r="AE8" s="269" t="s">
        <v>238</v>
      </c>
      <c r="AF8" s="269" t="s">
        <v>281</v>
      </c>
      <c r="AG8" s="296" t="s">
        <v>282</v>
      </c>
      <c r="AH8" s="269" t="s">
        <v>283</v>
      </c>
      <c r="AI8" s="269" t="s">
        <v>238</v>
      </c>
      <c r="AJ8" s="298" t="s">
        <v>281</v>
      </c>
      <c r="AK8" s="296" t="s">
        <v>282</v>
      </c>
      <c r="AL8" s="269" t="s">
        <v>283</v>
      </c>
      <c r="AM8" s="269" t="s">
        <v>238</v>
      </c>
      <c r="AN8" s="298" t="s">
        <v>281</v>
      </c>
      <c r="AO8" s="1366"/>
      <c r="AP8" s="1366"/>
    </row>
    <row r="9" spans="2:45" ht="23.9" customHeight="1" x14ac:dyDescent="0.35">
      <c r="B9" s="362" t="s">
        <v>336</v>
      </c>
      <c r="C9" s="422" t="s">
        <v>337</v>
      </c>
      <c r="D9" s="374">
        <f>'Haver Pivoted'!GO32</f>
        <v>590.1</v>
      </c>
      <c r="E9" s="375">
        <f>'Haver Pivoted'!GP32</f>
        <v>591.20000000000005</v>
      </c>
      <c r="F9" s="375">
        <f>'Haver Pivoted'!GQ32</f>
        <v>610.70000000000005</v>
      </c>
      <c r="G9" s="375">
        <f>'Haver Pivoted'!GR32</f>
        <v>608.79999999999995</v>
      </c>
      <c r="H9" s="375">
        <f>'Haver Pivoted'!GS32</f>
        <v>625</v>
      </c>
      <c r="I9" s="375">
        <f>'Haver Pivoted'!GT32</f>
        <v>635</v>
      </c>
      <c r="J9" s="375">
        <f>'Haver Pivoted'!GU32</f>
        <v>1387</v>
      </c>
      <c r="K9" s="375">
        <f>'Haver Pivoted'!GV32</f>
        <v>734.9</v>
      </c>
      <c r="L9" s="375">
        <f>'Haver Pivoted'!GW32</f>
        <v>757.9</v>
      </c>
      <c r="M9" s="375">
        <f>'Haver Pivoted'!GX32</f>
        <v>777.7</v>
      </c>
      <c r="N9" s="375">
        <f>'Haver Pivoted'!GY32</f>
        <v>1640.8</v>
      </c>
      <c r="O9" s="375">
        <f>'Haver Pivoted'!GZ32</f>
        <v>1085.5999999999999</v>
      </c>
      <c r="P9" s="375">
        <f>'Haver Pivoted'!HA32</f>
        <v>936.3</v>
      </c>
      <c r="Q9" s="375">
        <f>'Haver Pivoted'!HB32</f>
        <v>930</v>
      </c>
      <c r="R9" s="375">
        <f>'Haver Pivoted'!HC32</f>
        <v>951.4</v>
      </c>
      <c r="S9" s="376">
        <f>'Haver Pivoted'!HD32</f>
        <v>956.4</v>
      </c>
      <c r="T9" s="376">
        <f>'Haver Pivoted'!HE32</f>
        <v>955.4</v>
      </c>
      <c r="U9" s="351">
        <f>'Haver Pivoted'!HF32</f>
        <v>977.7</v>
      </c>
      <c r="V9" s="351">
        <f>'Haver Pivoted'!HG32</f>
        <v>967.9</v>
      </c>
      <c r="W9" s="351">
        <f>'Haver Pivoted'!HH32</f>
        <v>915.6</v>
      </c>
      <c r="X9" s="351">
        <f>'Haver Pivoted'!HI32</f>
        <v>941.4</v>
      </c>
      <c r="Y9" s="351">
        <f>'Haver Pivoted'!HJ32</f>
        <v>941</v>
      </c>
      <c r="Z9" s="351">
        <f>'Haver Pivoted'!HK32</f>
        <v>949.1</v>
      </c>
      <c r="AA9" s="351">
        <f>'Haver Pivoted'!HL32</f>
        <v>981.6</v>
      </c>
      <c r="AB9" s="351">
        <f>'Haver Pivoted'!HM32</f>
        <v>981.1</v>
      </c>
      <c r="AC9" s="351">
        <f>'Haver Pivoted'!HN32</f>
        <v>953.4</v>
      </c>
      <c r="AD9" s="353">
        <f>AD10+AD11</f>
        <v>973.00719895937129</v>
      </c>
      <c r="AE9" s="353">
        <f>AE10+AE11</f>
        <v>963.67555006638281</v>
      </c>
      <c r="AF9" s="353">
        <f>AF10+AF11</f>
        <v>976.13666463890559</v>
      </c>
      <c r="AG9" s="353">
        <f t="shared" ref="AG9:AM9" si="0">AG10+AG11</f>
        <v>987.18042004264635</v>
      </c>
      <c r="AH9" s="353">
        <f t="shared" si="0"/>
        <v>1002.9078846623315</v>
      </c>
      <c r="AI9" s="353">
        <f t="shared" si="0"/>
        <v>1016.5765035447814</v>
      </c>
      <c r="AJ9" s="353">
        <f t="shared" si="0"/>
        <v>1017.5942473317207</v>
      </c>
      <c r="AK9" s="353">
        <f t="shared" si="0"/>
        <v>1031.2430772693224</v>
      </c>
      <c r="AL9" s="353">
        <f t="shared" si="0"/>
        <v>1045.0620822842163</v>
      </c>
      <c r="AM9" s="353">
        <f t="shared" si="0"/>
        <v>1059.0903633118864</v>
      </c>
      <c r="AN9" s="353" t="e">
        <f>AN10+AN11</f>
        <v>#DIV/0!</v>
      </c>
      <c r="AO9" s="393"/>
      <c r="AP9" s="423"/>
    </row>
    <row r="10" spans="2:45" ht="27.65" customHeight="1" x14ac:dyDescent="0.35">
      <c r="B10" s="429" t="s">
        <v>133</v>
      </c>
      <c r="C10" s="241" t="s">
        <v>338</v>
      </c>
      <c r="D10" s="380">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38">
        <f>'Haver Pivoted'!HA40</f>
        <v>567.61</v>
      </c>
      <c r="Q10" s="54">
        <f>'Haver Pivoted'!HB40</f>
        <v>589.92700000000002</v>
      </c>
      <c r="R10" s="54">
        <f>'Haver Pivoted'!HC40</f>
        <v>585.74599999999998</v>
      </c>
      <c r="S10" s="350">
        <f>'Haver Pivoted'!HD40</f>
        <v>617.88900000000001</v>
      </c>
      <c r="T10" s="350">
        <f>'Haver Pivoted'!HE40</f>
        <v>611.67999999999995</v>
      </c>
      <c r="U10" s="350">
        <f>'Haver Pivoted'!HF40</f>
        <v>632.66</v>
      </c>
      <c r="V10" s="350">
        <f>'Haver Pivoted'!HG40</f>
        <v>628.88699999999994</v>
      </c>
      <c r="W10" s="350">
        <f>'Haver Pivoted'!HH40</f>
        <v>585.98400000000004</v>
      </c>
      <c r="X10" s="350">
        <f>'Haver Pivoted'!HI40</f>
        <v>612.03399999999999</v>
      </c>
      <c r="Y10" s="350">
        <f>'Haver Pivoted'!HJ40</f>
        <v>618.72699999999998</v>
      </c>
      <c r="Z10" s="350">
        <f>'Haver Pivoted'!HK40</f>
        <v>628.15700000000004</v>
      </c>
      <c r="AA10" s="350">
        <f>'Haver Pivoted'!HL40</f>
        <v>641.23699999999997</v>
      </c>
      <c r="AB10" s="350">
        <f>'Haver Pivoted'!HM40</f>
        <v>655.17499999999995</v>
      </c>
      <c r="AC10" s="350">
        <f>'Haver Pivoted'!HN40</f>
        <v>647.03</v>
      </c>
      <c r="AD10" s="354">
        <f>Medicaid!AD32</f>
        <v>662.85171975523019</v>
      </c>
      <c r="AE10" s="354">
        <f>Medicaid!AE32</f>
        <v>675.38514519906857</v>
      </c>
      <c r="AF10" s="354">
        <f>Medicaid!AF32</f>
        <v>685.00561720826681</v>
      </c>
      <c r="AG10" s="354">
        <f>Medicaid!AG32</f>
        <v>693.18074004264645</v>
      </c>
      <c r="AH10" s="354">
        <f>Medicaid!AH32</f>
        <v>706.01130629002489</v>
      </c>
      <c r="AI10" s="354">
        <f>Medicaid!AI32</f>
        <v>716.75448248277462</v>
      </c>
      <c r="AJ10" s="354">
        <f>Medicaid!AJ32</f>
        <v>714.81795800385646</v>
      </c>
      <c r="AK10" s="354">
        <f>Medicaid!AK32</f>
        <v>725.48341006932242</v>
      </c>
      <c r="AL10" s="354">
        <f>Medicaid!AL32</f>
        <v>736.28964077701744</v>
      </c>
      <c r="AM10" s="354">
        <f>Medicaid!AM32</f>
        <v>747.27546140739958</v>
      </c>
      <c r="AN10" s="354" t="e">
        <f>Medicaid!AN32</f>
        <v>#DIV/0!</v>
      </c>
      <c r="AO10" s="366"/>
      <c r="AP10" s="412"/>
    </row>
    <row r="11" spans="2:45" ht="17.25" customHeight="1" x14ac:dyDescent="0.35">
      <c r="B11" s="252" t="s">
        <v>339</v>
      </c>
      <c r="C11" s="241"/>
      <c r="D11" s="380">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38">
        <f t="shared" si="3"/>
        <v>368.68999999999994</v>
      </c>
      <c r="Q11" s="54">
        <f t="shared" si="3"/>
        <v>340.07299999999998</v>
      </c>
      <c r="R11" s="54">
        <f t="shared" si="3"/>
        <v>365.654</v>
      </c>
      <c r="S11" s="350">
        <f t="shared" si="3"/>
        <v>338.51099999999997</v>
      </c>
      <c r="T11" s="350">
        <f t="shared" si="3"/>
        <v>343.72</v>
      </c>
      <c r="U11" s="350">
        <f t="shared" ref="U11:Z11" si="4">U9-U10</f>
        <v>345.04000000000008</v>
      </c>
      <c r="V11" s="350">
        <f t="shared" si="4"/>
        <v>339.01300000000003</v>
      </c>
      <c r="W11" s="350">
        <f t="shared" si="4"/>
        <v>329.61599999999999</v>
      </c>
      <c r="X11" s="350">
        <f t="shared" si="4"/>
        <v>329.36599999999999</v>
      </c>
      <c r="Y11" s="350">
        <f t="shared" si="4"/>
        <v>322.27300000000002</v>
      </c>
      <c r="Z11" s="350">
        <f t="shared" si="4"/>
        <v>320.94299999999998</v>
      </c>
      <c r="AA11" s="350">
        <f t="shared" ref="AA11" si="5">AA9-AA10</f>
        <v>340.36300000000006</v>
      </c>
      <c r="AB11" s="350">
        <f>AB9-AB10</f>
        <v>325.92500000000007</v>
      </c>
      <c r="AC11" s="350">
        <f>AC9-AC10</f>
        <v>306.37</v>
      </c>
      <c r="AD11" s="354">
        <f t="shared" ref="AD11:AH11" si="6">SUM(AD12:AD20)</f>
        <v>310.1554792041411</v>
      </c>
      <c r="AE11" s="354">
        <f t="shared" si="6"/>
        <v>288.29040486731429</v>
      </c>
      <c r="AF11" s="354">
        <f t="shared" si="6"/>
        <v>291.13104743063877</v>
      </c>
      <c r="AG11" s="354">
        <f t="shared" si="6"/>
        <v>293.99967999999996</v>
      </c>
      <c r="AH11" s="354">
        <f t="shared" si="6"/>
        <v>296.89657837230669</v>
      </c>
      <c r="AI11" s="354">
        <f t="shared" ref="AI11:AM11" si="7">SUM(AI12:AI20)</f>
        <v>299.8220210620068</v>
      </c>
      <c r="AJ11" s="354">
        <f t="shared" si="7"/>
        <v>302.77628932786422</v>
      </c>
      <c r="AK11" s="354">
        <f t="shared" si="7"/>
        <v>305.75966719999985</v>
      </c>
      <c r="AL11" s="354">
        <f t="shared" si="7"/>
        <v>308.77244150719883</v>
      </c>
      <c r="AM11" s="354">
        <f t="shared" si="7"/>
        <v>311.81490190448699</v>
      </c>
      <c r="AN11" s="354">
        <f>SUM(AN12:AN20)</f>
        <v>314.88734090097876</v>
      </c>
      <c r="AO11" s="366"/>
      <c r="AP11" s="412"/>
    </row>
    <row r="12" spans="2:45" ht="16.399999999999999" customHeight="1" x14ac:dyDescent="0.35">
      <c r="B12" s="371" t="s">
        <v>149</v>
      </c>
      <c r="C12" s="39" t="s">
        <v>340</v>
      </c>
      <c r="D12" s="433"/>
      <c r="E12" s="39"/>
      <c r="F12" s="39"/>
      <c r="G12" s="39"/>
      <c r="H12" s="54"/>
      <c r="I12" s="54"/>
      <c r="J12" s="54">
        <f>'Haver Pivoted'!GU56</f>
        <v>597.9</v>
      </c>
      <c r="K12" s="54"/>
      <c r="L12" s="54"/>
      <c r="M12" s="54"/>
      <c r="N12" s="54"/>
      <c r="O12" s="37">
        <v>0</v>
      </c>
      <c r="P12" s="242">
        <v>0</v>
      </c>
      <c r="Q12" s="37">
        <v>0</v>
      </c>
      <c r="R12" s="37">
        <v>0</v>
      </c>
      <c r="S12" s="37">
        <v>0</v>
      </c>
      <c r="T12" s="37">
        <v>0</v>
      </c>
      <c r="U12" s="37">
        <v>0</v>
      </c>
      <c r="V12" s="37">
        <v>0</v>
      </c>
      <c r="W12" s="37">
        <v>0</v>
      </c>
      <c r="X12" s="354">
        <v>0</v>
      </c>
      <c r="Y12" s="354">
        <v>0</v>
      </c>
      <c r="Z12" s="354">
        <v>0</v>
      </c>
      <c r="AA12" s="354">
        <v>0</v>
      </c>
      <c r="AB12" s="354">
        <v>0</v>
      </c>
      <c r="AC12" s="354">
        <v>0</v>
      </c>
      <c r="AD12" s="354">
        <v>0</v>
      </c>
      <c r="AE12" s="354"/>
      <c r="AF12" s="354"/>
      <c r="AG12" s="354"/>
      <c r="AH12" s="354"/>
      <c r="AI12" s="354"/>
      <c r="AJ12" s="354"/>
      <c r="AK12" s="354"/>
      <c r="AL12" s="354"/>
      <c r="AM12" s="354"/>
      <c r="AN12" s="354"/>
      <c r="AO12" s="366">
        <f t="shared" ref="AO12:AO17" si="8">SUM(I12:Y12)/4</f>
        <v>149.47499999999999</v>
      </c>
      <c r="AP12" s="412">
        <f>AO24</f>
        <v>150</v>
      </c>
    </row>
    <row r="13" spans="2:45" x14ac:dyDescent="0.35">
      <c r="B13" s="371" t="s">
        <v>150</v>
      </c>
      <c r="C13" s="39" t="s">
        <v>341</v>
      </c>
      <c r="D13" s="433"/>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38">
        <f>'Haver Pivoted'!HA57</f>
        <v>87.2</v>
      </c>
      <c r="Q13" s="54">
        <f>'Haver Pivoted'!HB57</f>
        <v>72.400000000000006</v>
      </c>
      <c r="R13" s="54">
        <f>'Haver Pivoted'!HC57</f>
        <v>85.9</v>
      </c>
      <c r="S13" s="350">
        <f>'Haver Pivoted'!HD57</f>
        <v>68.3</v>
      </c>
      <c r="T13" s="350">
        <f>'Haver Pivoted'!HE57</f>
        <v>64</v>
      </c>
      <c r="U13" s="352">
        <f>U25+U29+U35</f>
        <v>60.929333333333297</v>
      </c>
      <c r="V13" s="352">
        <f t="shared" ref="V13:AC13" si="9">V25+V29+V35</f>
        <v>60.929333333333297</v>
      </c>
      <c r="W13" s="352">
        <f>W25+W29+W35</f>
        <v>60.929333333333297</v>
      </c>
      <c r="X13" s="352">
        <f t="shared" si="9"/>
        <v>54.244333333333302</v>
      </c>
      <c r="Y13" s="352">
        <f t="shared" si="9"/>
        <v>50.911000000000001</v>
      </c>
      <c r="Z13" s="352">
        <f t="shared" si="9"/>
        <v>31.911000000000001</v>
      </c>
      <c r="AA13" s="352">
        <f t="shared" si="9"/>
        <v>31.911000000000001</v>
      </c>
      <c r="AB13" s="352">
        <f t="shared" si="9"/>
        <v>23.099</v>
      </c>
      <c r="AC13" s="352">
        <f t="shared" si="9"/>
        <v>23.099</v>
      </c>
      <c r="AD13" s="352">
        <f>AD25+AD29+AD35</f>
        <v>23.099</v>
      </c>
      <c r="AE13" s="352"/>
      <c r="AF13" s="352"/>
      <c r="AG13" s="352"/>
      <c r="AH13" s="352"/>
      <c r="AI13" s="352"/>
      <c r="AJ13" s="352"/>
      <c r="AK13" s="352"/>
      <c r="AL13" s="352"/>
      <c r="AM13" s="352"/>
      <c r="AN13" s="352"/>
      <c r="AO13" s="366">
        <f t="shared" si="8"/>
        <v>225.58583333333326</v>
      </c>
      <c r="AP13" s="412">
        <f>AO25+AO29+AO35</f>
        <v>225.76349999999994</v>
      </c>
      <c r="AQ13" s="43">
        <f>SUM(J13:R13)/4</f>
        <v>120.52500000000001</v>
      </c>
    </row>
    <row r="14" spans="2:45" x14ac:dyDescent="0.35">
      <c r="B14" s="371" t="s">
        <v>152</v>
      </c>
      <c r="C14" s="36" t="s">
        <v>306</v>
      </c>
      <c r="D14" s="368"/>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38">
        <f>'Haver Pivoted'!HA58</f>
        <v>18</v>
      </c>
      <c r="Q14" s="54">
        <f>'Haver Pivoted'!HB58</f>
        <v>15</v>
      </c>
      <c r="R14" s="54">
        <f>'Haver Pivoted'!HC58</f>
        <v>11.2</v>
      </c>
      <c r="S14" s="350">
        <f>'Haver Pivoted'!HD58</f>
        <v>7.5</v>
      </c>
      <c r="T14" s="350">
        <f>'Haver Pivoted'!HE58</f>
        <v>6.2</v>
      </c>
      <c r="U14" s="350">
        <f>'Haver Pivoted'!HF58</f>
        <v>0</v>
      </c>
      <c r="V14" s="350">
        <f>'Haver Pivoted'!HG58</f>
        <v>0</v>
      </c>
      <c r="W14" s="350">
        <f>'Haver Pivoted'!HH58</f>
        <v>0</v>
      </c>
      <c r="X14" s="350">
        <f>'Haver Pivoted'!HI58</f>
        <v>0</v>
      </c>
      <c r="Y14" s="350">
        <f>'Haver Pivoted'!HJ58</f>
        <v>0</v>
      </c>
      <c r="Z14" s="350">
        <f>'Haver Pivoted'!HK58</f>
        <v>0</v>
      </c>
      <c r="AA14" s="350">
        <f>'Haver Pivoted'!HL58</f>
        <v>0</v>
      </c>
      <c r="AB14" s="350">
        <f>'Haver Pivoted'!HM58</f>
        <v>0</v>
      </c>
      <c r="AC14" s="350">
        <f>'Haver Pivoted'!HN58</f>
        <v>0</v>
      </c>
      <c r="AD14" s="354">
        <f>'Provider Relief (expired)'!AD12</f>
        <v>0</v>
      </c>
      <c r="AE14" s="354"/>
      <c r="AF14" s="354"/>
      <c r="AG14" s="354"/>
      <c r="AH14" s="354"/>
      <c r="AI14" s="354"/>
      <c r="AJ14" s="354"/>
      <c r="AK14" s="354"/>
      <c r="AL14" s="354"/>
      <c r="AM14" s="354"/>
      <c r="AN14" s="354"/>
      <c r="AO14" s="366">
        <f t="shared" si="8"/>
        <v>47.375</v>
      </c>
      <c r="AP14" s="412">
        <f>AO26+AO30+AO36</f>
        <v>34.125000000000007</v>
      </c>
    </row>
    <row r="15" spans="2:45" ht="15.75" customHeight="1" x14ac:dyDescent="0.35">
      <c r="B15" s="371" t="s">
        <v>342</v>
      </c>
      <c r="C15" s="36"/>
      <c r="D15" s="368"/>
      <c r="E15" s="36"/>
      <c r="F15" s="36"/>
      <c r="G15" s="36"/>
      <c r="H15" s="54"/>
      <c r="I15" s="54"/>
      <c r="J15" s="54"/>
      <c r="K15" s="54"/>
      <c r="L15" s="54"/>
      <c r="M15" s="54">
        <f>M28</f>
        <v>9.6666666666666661</v>
      </c>
      <c r="N15" s="37">
        <f t="shared" ref="N15:AC15" si="10">N28</f>
        <v>9.6666666666666661</v>
      </c>
      <c r="O15" s="37">
        <f t="shared" si="10"/>
        <v>9.6666666666666661</v>
      </c>
      <c r="P15" s="242">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4">
        <f t="shared" si="10"/>
        <v>9.6666666666666661</v>
      </c>
      <c r="Y15" s="354">
        <f t="shared" si="10"/>
        <v>0</v>
      </c>
      <c r="Z15" s="354">
        <f t="shared" si="10"/>
        <v>0</v>
      </c>
      <c r="AA15" s="354">
        <f t="shared" si="10"/>
        <v>0</v>
      </c>
      <c r="AB15" s="354">
        <f t="shared" si="10"/>
        <v>0</v>
      </c>
      <c r="AC15" s="354">
        <f t="shared" si="10"/>
        <v>0</v>
      </c>
      <c r="AD15" s="354">
        <f t="shared" ref="AD15" si="11">AD28</f>
        <v>0</v>
      </c>
      <c r="AE15" s="354"/>
      <c r="AF15" s="354"/>
      <c r="AG15" s="354"/>
      <c r="AH15" s="354"/>
      <c r="AI15" s="354"/>
      <c r="AJ15" s="354"/>
      <c r="AK15" s="354"/>
      <c r="AL15" s="354"/>
      <c r="AM15" s="354"/>
      <c r="AN15" s="354"/>
      <c r="AO15" s="366">
        <f t="shared" si="8"/>
        <v>29.000000000000004</v>
      </c>
      <c r="AP15" s="413">
        <f>AO28</f>
        <v>29.000000000000004</v>
      </c>
      <c r="AQ15" s="383" t="s">
        <v>343</v>
      </c>
      <c r="AR15" s="383"/>
      <c r="AS15" s="383"/>
    </row>
    <row r="16" spans="2:45" ht="31.4" customHeight="1" x14ac:dyDescent="0.35">
      <c r="B16" s="371" t="s">
        <v>344</v>
      </c>
      <c r="C16" s="36"/>
      <c r="D16" s="368"/>
      <c r="E16" s="36"/>
      <c r="F16" s="36"/>
      <c r="G16" s="36"/>
      <c r="H16" s="54"/>
      <c r="I16" s="54"/>
      <c r="J16" s="54"/>
      <c r="K16" s="54"/>
      <c r="L16" s="54"/>
      <c r="M16" s="54">
        <f>M32+M31</f>
        <v>12</v>
      </c>
      <c r="N16" s="37">
        <f>N32+N31</f>
        <v>12</v>
      </c>
      <c r="O16" s="37">
        <f>O32+O31</f>
        <v>12</v>
      </c>
      <c r="P16" s="242">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4">
        <f t="shared" si="12"/>
        <v>12</v>
      </c>
      <c r="Y16" s="354">
        <f t="shared" si="12"/>
        <v>0</v>
      </c>
      <c r="Z16" s="354">
        <f t="shared" si="12"/>
        <v>0</v>
      </c>
      <c r="AA16" s="354">
        <f t="shared" si="12"/>
        <v>0</v>
      </c>
      <c r="AB16" s="354">
        <f t="shared" si="12"/>
        <v>0</v>
      </c>
      <c r="AC16" s="354">
        <f t="shared" si="12"/>
        <v>0</v>
      </c>
      <c r="AD16" s="354">
        <f t="shared" ref="AD16" si="13">AD32+AD31</f>
        <v>0</v>
      </c>
      <c r="AE16" s="354"/>
      <c r="AF16" s="354"/>
      <c r="AG16" s="354"/>
      <c r="AH16" s="354"/>
      <c r="AI16" s="354"/>
      <c r="AJ16" s="354"/>
      <c r="AK16" s="354"/>
      <c r="AL16" s="354"/>
      <c r="AM16" s="354"/>
      <c r="AN16" s="354"/>
      <c r="AO16" s="366">
        <f t="shared" si="8"/>
        <v>36</v>
      </c>
      <c r="AP16" s="412">
        <f>SUM(AO31:AO32)+AO37</f>
        <v>130.3365</v>
      </c>
      <c r="AQ16" s="383" t="s">
        <v>345</v>
      </c>
      <c r="AR16" s="383"/>
      <c r="AS16" s="383"/>
    </row>
    <row r="17" spans="1:45" x14ac:dyDescent="0.35">
      <c r="B17" s="371" t="s">
        <v>346</v>
      </c>
      <c r="C17" s="36"/>
      <c r="D17" s="368"/>
      <c r="E17" s="36"/>
      <c r="F17" s="36"/>
      <c r="G17" s="36"/>
      <c r="H17" s="54"/>
      <c r="I17" s="54"/>
      <c r="J17" s="54"/>
      <c r="K17" s="54"/>
      <c r="L17" s="54"/>
      <c r="M17" s="54"/>
      <c r="N17" s="37">
        <f>N37</f>
        <v>59.256</v>
      </c>
      <c r="O17" s="37">
        <f>O37</f>
        <v>59.256</v>
      </c>
      <c r="P17" s="242">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4">
        <f t="shared" si="14"/>
        <v>9.6430000000000007</v>
      </c>
      <c r="Y17" s="354">
        <f t="shared" si="14"/>
        <v>9.6430000000000007</v>
      </c>
      <c r="Z17" s="354">
        <f t="shared" si="14"/>
        <v>9.6430000000000007</v>
      </c>
      <c r="AA17" s="354">
        <f t="shared" si="14"/>
        <v>9.6430000000000007</v>
      </c>
      <c r="AB17" s="354">
        <f t="shared" si="14"/>
        <v>4.5789999999999997</v>
      </c>
      <c r="AC17" s="354">
        <f t="shared" si="14"/>
        <v>4.5789999999999997</v>
      </c>
      <c r="AD17" s="354">
        <f>AD37</f>
        <v>4.5789999999999997</v>
      </c>
      <c r="AE17" s="354"/>
      <c r="AF17" s="354"/>
      <c r="AG17" s="354"/>
      <c r="AH17" s="354"/>
      <c r="AI17" s="354"/>
      <c r="AJ17" s="354"/>
      <c r="AK17" s="354"/>
      <c r="AL17" s="354"/>
      <c r="AM17" s="354"/>
      <c r="AN17" s="354"/>
      <c r="AO17" s="366">
        <f t="shared" si="8"/>
        <v>94.336500000000001</v>
      </c>
      <c r="AP17" s="412"/>
      <c r="AQ17" s="383"/>
      <c r="AR17" s="383"/>
      <c r="AS17" s="383"/>
    </row>
    <row r="18" spans="1:45" ht="54" customHeight="1" x14ac:dyDescent="0.35">
      <c r="B18" s="419" t="s">
        <v>778</v>
      </c>
      <c r="C18" s="36"/>
      <c r="D18" s="368"/>
      <c r="E18" s="36"/>
      <c r="F18" s="36"/>
      <c r="G18" s="36"/>
      <c r="H18" s="54"/>
      <c r="I18" s="54"/>
      <c r="J18" s="54"/>
      <c r="K18" s="54"/>
      <c r="L18" s="54"/>
      <c r="M18" s="54"/>
      <c r="N18" s="37">
        <v>-40</v>
      </c>
      <c r="O18" s="37">
        <v>-40</v>
      </c>
      <c r="P18" s="242">
        <f>-51</f>
        <v>-51</v>
      </c>
      <c r="Q18" s="37">
        <f>-51</f>
        <v>-51</v>
      </c>
      <c r="R18" s="37">
        <v>-51</v>
      </c>
      <c r="S18" s="37">
        <f>-51</f>
        <v>-51</v>
      </c>
      <c r="T18" s="37">
        <v>0</v>
      </c>
      <c r="U18" s="37">
        <v>0</v>
      </c>
      <c r="V18" s="37">
        <v>0</v>
      </c>
      <c r="W18" s="37">
        <v>0</v>
      </c>
      <c r="X18" s="354">
        <v>-4</v>
      </c>
      <c r="Y18" s="354">
        <v>-4</v>
      </c>
      <c r="Z18" s="354">
        <v>-4</v>
      </c>
      <c r="AA18" s="354">
        <v>-4</v>
      </c>
      <c r="AB18" s="354">
        <v>-4</v>
      </c>
      <c r="AC18" s="354">
        <v>-4</v>
      </c>
      <c r="AD18" s="354">
        <v>-3</v>
      </c>
      <c r="AE18" s="354">
        <v>0</v>
      </c>
      <c r="AF18" s="354">
        <v>0</v>
      </c>
      <c r="AG18" s="354">
        <v>0</v>
      </c>
      <c r="AH18" s="354">
        <v>0</v>
      </c>
      <c r="AI18" s="354">
        <v>0</v>
      </c>
      <c r="AJ18" s="354">
        <v>0</v>
      </c>
      <c r="AK18" s="354">
        <v>0</v>
      </c>
      <c r="AL18" s="354">
        <v>0</v>
      </c>
      <c r="AM18" s="354">
        <v>0</v>
      </c>
      <c r="AN18" s="354">
        <v>0</v>
      </c>
      <c r="AO18" s="366"/>
      <c r="AP18" s="412"/>
      <c r="AQ18" s="383"/>
      <c r="AR18" s="383"/>
      <c r="AS18" s="383"/>
    </row>
    <row r="19" spans="1:45" ht="15.75" customHeight="1" x14ac:dyDescent="0.35">
      <c r="B19" s="371" t="s">
        <v>347</v>
      </c>
      <c r="C19" s="39" t="s">
        <v>348</v>
      </c>
      <c r="D19" s="368"/>
      <c r="E19" s="36"/>
      <c r="F19" s="36"/>
      <c r="G19" s="36"/>
      <c r="H19" s="54"/>
      <c r="I19" s="54"/>
      <c r="J19" s="54"/>
      <c r="K19" s="54">
        <f>'Haver Pivoted'!GV56</f>
        <v>0</v>
      </c>
      <c r="L19" s="54">
        <f>'Haver Pivoted'!GW56</f>
        <v>0</v>
      </c>
      <c r="M19" s="54">
        <f>'Haver Pivoted'!GX56</f>
        <v>0</v>
      </c>
      <c r="N19" s="54">
        <f>'Haver Pivoted'!GY56</f>
        <v>785.9</v>
      </c>
      <c r="O19" s="54">
        <f>'Haver Pivoted'!GZ56</f>
        <v>187.9</v>
      </c>
      <c r="P19" s="438">
        <f>'Haver Pivoted'!HA56</f>
        <v>9.1999999999999993</v>
      </c>
      <c r="Q19" s="54">
        <f>'Haver Pivoted'!HB56</f>
        <v>0.6</v>
      </c>
      <c r="R19" s="54">
        <f>'Haver Pivoted'!HC56</f>
        <v>0</v>
      </c>
      <c r="S19" s="350">
        <f>'Haver Pivoted'!HD56</f>
        <v>0</v>
      </c>
      <c r="T19" s="350">
        <f>'Haver Pivoted'!HE56</f>
        <v>0</v>
      </c>
      <c r="U19" s="350">
        <f>'Haver Pivoted'!HF56</f>
        <v>0</v>
      </c>
      <c r="V19" s="350">
        <f>'Haver Pivoted'!HG56</f>
        <v>0</v>
      </c>
      <c r="W19" s="350">
        <f>'Haver Pivoted'!HH56</f>
        <v>0</v>
      </c>
      <c r="X19" s="350">
        <f>'Haver Pivoted'!HI56</f>
        <v>0</v>
      </c>
      <c r="Y19" s="350">
        <f>'Haver Pivoted'!HJ56</f>
        <v>0</v>
      </c>
      <c r="Z19" s="350">
        <f>'Haver Pivoted'!HK56</f>
        <v>0</v>
      </c>
      <c r="AA19" s="350">
        <f>'Haver Pivoted'!HL56</f>
        <v>0</v>
      </c>
      <c r="AB19" s="350">
        <f>'Haver Pivoted'!HM56</f>
        <v>0</v>
      </c>
      <c r="AC19" s="350">
        <f>'Haver Pivoted'!HN56</f>
        <v>0</v>
      </c>
      <c r="AD19" s="347">
        <f t="shared" ref="AD19" si="15">AD34</f>
        <v>0</v>
      </c>
      <c r="AE19" s="347">
        <v>0</v>
      </c>
      <c r="AF19" s="347">
        <v>0</v>
      </c>
      <c r="AG19" s="347">
        <v>0</v>
      </c>
      <c r="AH19" s="347">
        <v>0</v>
      </c>
      <c r="AI19" s="347">
        <v>0</v>
      </c>
      <c r="AJ19" s="347">
        <v>0</v>
      </c>
      <c r="AK19" s="347">
        <v>0</v>
      </c>
      <c r="AL19" s="347">
        <v>0</v>
      </c>
      <c r="AM19" s="347">
        <v>0</v>
      </c>
      <c r="AN19" s="347">
        <v>0</v>
      </c>
      <c r="AO19" s="366">
        <f>SUM(I19:Y19)/4</f>
        <v>245.9</v>
      </c>
      <c r="AP19" s="412">
        <f>AO34</f>
        <v>362.04999999999995</v>
      </c>
      <c r="AQ19" s="404"/>
      <c r="AS19" s="383"/>
    </row>
    <row r="20" spans="1:45" ht="15.75" customHeight="1" x14ac:dyDescent="0.35">
      <c r="A20" s="385"/>
      <c r="B20" s="384" t="s">
        <v>349</v>
      </c>
      <c r="C20" s="396"/>
      <c r="D20" s="394">
        <f t="shared" ref="D20:T20" si="16">D11-SUM(D12:D19)</f>
        <v>198.17900000000003</v>
      </c>
      <c r="E20" s="396">
        <f t="shared" si="16"/>
        <v>185.83200000000005</v>
      </c>
      <c r="F20" s="396">
        <f t="shared" si="16"/>
        <v>196.50400000000002</v>
      </c>
      <c r="G20" s="396">
        <f t="shared" si="16"/>
        <v>190.11399999999998</v>
      </c>
      <c r="H20" s="396">
        <f t="shared" si="16"/>
        <v>208.815</v>
      </c>
      <c r="I20" s="396">
        <f t="shared" si="16"/>
        <v>212.11</v>
      </c>
      <c r="J20" s="396">
        <f t="shared" si="16"/>
        <v>193.39400000000012</v>
      </c>
      <c r="K20" s="396">
        <f t="shared" si="16"/>
        <v>211.21999999999997</v>
      </c>
      <c r="L20" s="396">
        <f t="shared" si="16"/>
        <v>219.01599999999996</v>
      </c>
      <c r="M20" s="396">
        <f t="shared" si="16"/>
        <v>215.70433333333341</v>
      </c>
      <c r="N20" s="396">
        <f t="shared" si="16"/>
        <v>218.08733333333339</v>
      </c>
      <c r="O20" s="396">
        <f t="shared" si="16"/>
        <v>220.25133333333321</v>
      </c>
      <c r="P20" s="337">
        <f t="shared" si="16"/>
        <v>247.95233333333329</v>
      </c>
      <c r="Q20" s="396">
        <f t="shared" si="16"/>
        <v>245.7353333333333</v>
      </c>
      <c r="R20" s="396">
        <f t="shared" si="16"/>
        <v>262.2163333333333</v>
      </c>
      <c r="S20" s="373">
        <f t="shared" si="16"/>
        <v>256.37333333333328</v>
      </c>
      <c r="T20" s="373">
        <f t="shared" si="16"/>
        <v>227.63733333333334</v>
      </c>
      <c r="U20" s="373">
        <f t="shared" ref="U20:Z20" si="17">U11-SUM(U12:U19)</f>
        <v>238.22800000000012</v>
      </c>
      <c r="V20" s="373">
        <f t="shared" si="17"/>
        <v>232.20100000000008</v>
      </c>
      <c r="W20" s="373">
        <f t="shared" si="17"/>
        <v>222.80400000000003</v>
      </c>
      <c r="X20" s="373">
        <f t="shared" si="17"/>
        <v>247.81200000000001</v>
      </c>
      <c r="Y20" s="373">
        <f t="shared" si="17"/>
        <v>265.71900000000005</v>
      </c>
      <c r="Z20" s="373">
        <f t="shared" si="17"/>
        <v>283.38900000000001</v>
      </c>
      <c r="AA20" s="373">
        <f>AA11-SUM(AA12:AA19)</f>
        <v>302.80900000000008</v>
      </c>
      <c r="AB20" s="373">
        <f>AB11-SUM(AB12:AB19)</f>
        <v>302.24700000000007</v>
      </c>
      <c r="AC20" s="373">
        <f>AC11-SUM(AC12:AC19)</f>
        <v>282.69200000000001</v>
      </c>
      <c r="AD20" s="267">
        <f>AC20*(1.04)^0.25</f>
        <v>285.4774792041411</v>
      </c>
      <c r="AE20" s="267">
        <f t="shared" ref="AE20:AI20" si="18">AD20*(1.04)^0.25</f>
        <v>288.29040486731429</v>
      </c>
      <c r="AF20" s="267">
        <f>AE20*(1.04)^0.25</f>
        <v>291.13104743063877</v>
      </c>
      <c r="AG20" s="267">
        <f t="shared" si="18"/>
        <v>293.99967999999996</v>
      </c>
      <c r="AH20" s="267">
        <f t="shared" si="18"/>
        <v>296.89657837230669</v>
      </c>
      <c r="AI20" s="267">
        <f t="shared" si="18"/>
        <v>299.8220210620068</v>
      </c>
      <c r="AJ20" s="267">
        <f>AI20*(1.04)^0.25</f>
        <v>302.77628932786422</v>
      </c>
      <c r="AK20" s="267">
        <f>AJ20*(1.04)^0.25</f>
        <v>305.75966719999985</v>
      </c>
      <c r="AL20" s="267">
        <f>AK20*(1.04)^0.25</f>
        <v>308.77244150719883</v>
      </c>
      <c r="AM20" s="267">
        <f>AL20*(1.04)^0.25</f>
        <v>311.81490190448699</v>
      </c>
      <c r="AN20" s="267">
        <f>AM20*(1.04)^0.25</f>
        <v>314.88734090097876</v>
      </c>
      <c r="AO20" s="417"/>
      <c r="AP20" s="414"/>
      <c r="AQ20" s="383" t="s">
        <v>350</v>
      </c>
      <c r="AR20" s="383"/>
      <c r="AS20" s="383"/>
    </row>
    <row r="21" spans="1:45" ht="15.75" customHeight="1" x14ac:dyDescent="0.35">
      <c r="A21" s="2"/>
      <c r="B21" s="356"/>
      <c r="C21" s="36"/>
      <c r="D21" s="36"/>
      <c r="E21" s="36"/>
      <c r="F21" s="36"/>
      <c r="G21" s="36"/>
      <c r="H21" s="36"/>
      <c r="I21" s="36"/>
      <c r="J21" s="36"/>
      <c r="K21" s="36"/>
      <c r="L21" s="36"/>
      <c r="M21" s="36"/>
      <c r="N21" s="36"/>
      <c r="O21" s="36"/>
      <c r="P21" s="388"/>
      <c r="Q21" s="36"/>
      <c r="R21" s="36"/>
      <c r="AO21" s="242"/>
      <c r="AP21" s="388"/>
      <c r="AQ21" s="383"/>
      <c r="AR21" s="383"/>
      <c r="AS21" s="383"/>
    </row>
    <row r="22" spans="1:45" ht="27" customHeight="1" x14ac:dyDescent="0.35">
      <c r="B22" s="1367" t="s">
        <v>352</v>
      </c>
      <c r="C22" s="1368"/>
      <c r="D22" s="1368"/>
      <c r="E22" s="1368"/>
      <c r="F22" s="1368"/>
      <c r="G22" s="1368"/>
      <c r="H22" s="1368"/>
      <c r="I22" s="1368"/>
      <c r="J22" s="1368"/>
      <c r="K22" s="1368"/>
      <c r="L22" s="1368"/>
      <c r="M22" s="1368"/>
      <c r="N22" s="1368"/>
      <c r="O22" s="1368"/>
      <c r="P22" s="1368"/>
      <c r="Q22" s="1368"/>
      <c r="R22" s="1368"/>
      <c r="S22" s="1368"/>
      <c r="T22" s="1368"/>
      <c r="U22" s="1368"/>
      <c r="V22" s="1368"/>
      <c r="W22" s="1368"/>
      <c r="X22" s="1368"/>
      <c r="Y22" s="1368"/>
      <c r="Z22" s="1368"/>
      <c r="AA22" s="1368"/>
      <c r="AB22" s="1368"/>
      <c r="AC22" s="1368"/>
      <c r="AD22" s="327"/>
      <c r="AE22" s="327"/>
      <c r="AF22" s="327"/>
      <c r="AG22" s="327"/>
      <c r="AH22" s="327"/>
      <c r="AI22" s="327"/>
      <c r="AJ22" s="327"/>
      <c r="AK22" s="327"/>
      <c r="AL22" s="327"/>
      <c r="AM22" s="327"/>
      <c r="AN22" s="327"/>
      <c r="AO22" s="359" t="s">
        <v>334</v>
      </c>
      <c r="AP22" s="415"/>
    </row>
    <row r="23" spans="1:45" ht="17.899999999999999" customHeight="1" x14ac:dyDescent="0.35">
      <c r="B23" s="421" t="s">
        <v>353</v>
      </c>
      <c r="C23" s="36"/>
      <c r="D23" s="368"/>
      <c r="E23" s="36"/>
      <c r="F23" s="36"/>
      <c r="G23" s="36"/>
      <c r="H23" s="37"/>
      <c r="I23" s="37"/>
      <c r="J23" s="342">
        <f>SUM(J24:J26)</f>
        <v>692.8</v>
      </c>
      <c r="K23" s="342">
        <f t="shared" ref="K23:P23" si="19">SUM(K24:K26)</f>
        <v>39.200000000000003</v>
      </c>
      <c r="L23" s="342">
        <f t="shared" si="19"/>
        <v>29</v>
      </c>
      <c r="M23" s="342">
        <f t="shared" si="19"/>
        <v>27</v>
      </c>
      <c r="N23" s="342">
        <f t="shared" si="19"/>
        <v>18</v>
      </c>
      <c r="O23" s="342">
        <f t="shared" si="19"/>
        <v>0</v>
      </c>
      <c r="P23" s="238">
        <f t="shared" si="19"/>
        <v>0</v>
      </c>
      <c r="Q23" s="342"/>
      <c r="R23" s="342"/>
      <c r="S23" s="342"/>
      <c r="T23" s="347"/>
      <c r="U23" s="347"/>
      <c r="V23" s="347"/>
      <c r="W23" s="347"/>
      <c r="X23" s="347"/>
      <c r="Y23" s="347"/>
      <c r="Z23" s="347"/>
      <c r="AA23" s="347"/>
      <c r="AB23" s="347"/>
      <c r="AC23" s="347"/>
      <c r="AD23" s="347"/>
      <c r="AE23" s="347"/>
      <c r="AF23" s="347"/>
      <c r="AG23" s="347"/>
      <c r="AH23" s="347"/>
      <c r="AI23" s="347"/>
      <c r="AJ23" s="347"/>
      <c r="AK23" s="347"/>
      <c r="AL23" s="347"/>
      <c r="AM23" s="347"/>
      <c r="AN23" s="347"/>
      <c r="AO23" s="366">
        <f t="shared" ref="AO23:AO36" si="20">SUM(I23:Y23)/4</f>
        <v>201.5</v>
      </c>
      <c r="AP23" s="1362" t="s">
        <v>354</v>
      </c>
      <c r="AQ23" s="1363"/>
    </row>
    <row r="24" spans="1:45" x14ac:dyDescent="0.35">
      <c r="B24" s="386" t="s">
        <v>149</v>
      </c>
      <c r="C24" s="36"/>
      <c r="D24" s="368"/>
      <c r="E24" s="36"/>
      <c r="F24" s="36"/>
      <c r="G24" s="36"/>
      <c r="H24" s="37"/>
      <c r="I24" s="37"/>
      <c r="J24" s="342">
        <f>C44*4</f>
        <v>600</v>
      </c>
      <c r="K24" s="342"/>
      <c r="L24" s="342"/>
      <c r="M24" s="342"/>
      <c r="N24" s="342"/>
      <c r="O24" s="342"/>
      <c r="P24" s="238"/>
      <c r="Q24" s="342"/>
      <c r="R24" s="342"/>
      <c r="S24" s="342"/>
      <c r="T24" s="347"/>
      <c r="U24" s="347"/>
      <c r="V24" s="347"/>
      <c r="W24" s="347"/>
      <c r="X24" s="347"/>
      <c r="Y24" s="347"/>
      <c r="Z24" s="347"/>
      <c r="AA24" s="347"/>
      <c r="AB24" s="347"/>
      <c r="AC24" s="347"/>
      <c r="AD24" s="347"/>
      <c r="AE24" s="347"/>
      <c r="AF24" s="347"/>
      <c r="AG24" s="347"/>
      <c r="AH24" s="347"/>
      <c r="AI24" s="347"/>
      <c r="AJ24" s="347"/>
      <c r="AK24" s="347"/>
      <c r="AL24" s="347"/>
      <c r="AM24" s="347"/>
      <c r="AN24" s="347"/>
      <c r="AO24" s="366">
        <f t="shared" si="20"/>
        <v>150</v>
      </c>
      <c r="AP24" s="342"/>
    </row>
    <row r="25" spans="1:45" ht="15" customHeight="1" x14ac:dyDescent="0.35">
      <c r="B25" s="386" t="s">
        <v>150</v>
      </c>
      <c r="C25" s="36"/>
      <c r="D25" s="368"/>
      <c r="E25" s="36"/>
      <c r="F25" s="36"/>
      <c r="G25" s="36"/>
      <c r="H25" s="37"/>
      <c r="I25" s="37"/>
      <c r="J25" s="342">
        <v>28.4</v>
      </c>
      <c r="K25" s="342">
        <v>15.8</v>
      </c>
      <c r="L25" s="342">
        <v>15.2</v>
      </c>
      <c r="M25" s="342">
        <v>10.9</v>
      </c>
      <c r="N25" s="342">
        <v>18</v>
      </c>
      <c r="O25" s="342"/>
      <c r="P25" s="238"/>
      <c r="Q25" s="342"/>
      <c r="R25" s="342"/>
      <c r="S25" s="342">
        <v>20</v>
      </c>
      <c r="T25" s="382">
        <v>10</v>
      </c>
      <c r="U25" s="347"/>
      <c r="V25" s="347"/>
      <c r="W25" s="347"/>
      <c r="X25" s="347"/>
      <c r="Y25" s="347"/>
      <c r="Z25" s="347"/>
      <c r="AA25" s="347"/>
      <c r="AB25" s="347"/>
      <c r="AC25" s="347"/>
      <c r="AD25" s="347"/>
      <c r="AE25" s="347"/>
      <c r="AF25" s="347"/>
      <c r="AG25" s="347"/>
      <c r="AH25" s="347"/>
      <c r="AI25" s="347"/>
      <c r="AJ25" s="347"/>
      <c r="AK25" s="347"/>
      <c r="AL25" s="347"/>
      <c r="AM25" s="347"/>
      <c r="AN25" s="347"/>
      <c r="AO25" s="366">
        <f t="shared" si="20"/>
        <v>29.575000000000003</v>
      </c>
      <c r="AP25" s="342"/>
    </row>
    <row r="26" spans="1:45" x14ac:dyDescent="0.35">
      <c r="B26" s="386" t="s">
        <v>152</v>
      </c>
      <c r="C26" s="36"/>
      <c r="D26" s="368"/>
      <c r="E26" s="36"/>
      <c r="F26" s="36"/>
      <c r="G26" s="36"/>
      <c r="H26" s="37"/>
      <c r="I26" s="37"/>
      <c r="J26" s="241">
        <v>64.400000000000006</v>
      </c>
      <c r="K26" s="241">
        <v>23.4</v>
      </c>
      <c r="L26" s="241">
        <v>13.8</v>
      </c>
      <c r="M26" s="241">
        <v>16.100000000000001</v>
      </c>
      <c r="N26" s="342"/>
      <c r="O26" s="342"/>
      <c r="P26" s="238"/>
      <c r="Q26" s="342"/>
      <c r="R26" s="342"/>
      <c r="S26" s="342"/>
      <c r="T26" s="347"/>
      <c r="U26" s="347"/>
      <c r="V26" s="347"/>
      <c r="W26" s="347"/>
      <c r="X26" s="347"/>
      <c r="Y26" s="347"/>
      <c r="Z26" s="347"/>
      <c r="AA26" s="347"/>
      <c r="AB26" s="347"/>
      <c r="AC26" s="347"/>
      <c r="AD26" s="347"/>
      <c r="AE26" s="347"/>
      <c r="AF26" s="347"/>
      <c r="AG26" s="347"/>
      <c r="AH26" s="347"/>
      <c r="AI26" s="347"/>
      <c r="AJ26" s="347"/>
      <c r="AK26" s="347"/>
      <c r="AL26" s="347"/>
      <c r="AM26" s="347"/>
      <c r="AN26" s="347"/>
      <c r="AO26" s="366">
        <f t="shared" si="20"/>
        <v>29.425000000000004</v>
      </c>
      <c r="AP26" s="342"/>
    </row>
    <row r="27" spans="1:45" ht="16.5" customHeight="1" x14ac:dyDescent="0.35">
      <c r="B27" s="421" t="s">
        <v>355</v>
      </c>
      <c r="C27" s="36"/>
      <c r="D27" s="368"/>
      <c r="E27" s="36"/>
      <c r="F27" s="36"/>
      <c r="G27" s="36"/>
      <c r="H27" s="37"/>
      <c r="I27" s="37"/>
      <c r="J27" s="37"/>
      <c r="K27" s="37"/>
      <c r="L27" s="37"/>
      <c r="M27" s="342">
        <f>SUM(M28:M32)</f>
        <v>43</v>
      </c>
      <c r="N27" s="342">
        <f t="shared" ref="N27:AD27" si="21">SUM(N28:N32)</f>
        <v>70</v>
      </c>
      <c r="O27" s="342">
        <f t="shared" si="21"/>
        <v>59.999999999999964</v>
      </c>
      <c r="P27" s="238">
        <f t="shared" si="21"/>
        <v>50</v>
      </c>
      <c r="Q27" s="342">
        <f t="shared" si="21"/>
        <v>44.999999999999964</v>
      </c>
      <c r="R27" s="342">
        <f t="shared" si="21"/>
        <v>44.999999999999964</v>
      </c>
      <c r="S27" s="342">
        <f t="shared" si="21"/>
        <v>44.999999999999964</v>
      </c>
      <c r="T27" s="347">
        <f t="shared" si="21"/>
        <v>44.999999999999964</v>
      </c>
      <c r="U27" s="347">
        <f t="shared" si="21"/>
        <v>44.999999999999964</v>
      </c>
      <c r="V27" s="347">
        <f t="shared" si="21"/>
        <v>44.999999999999964</v>
      </c>
      <c r="W27" s="347">
        <f t="shared" si="21"/>
        <v>44.999999999999964</v>
      </c>
      <c r="X27" s="347">
        <f>SUM(X28:X32)</f>
        <v>44.999999999999964</v>
      </c>
      <c r="Y27" s="347">
        <f t="shared" si="21"/>
        <v>19</v>
      </c>
      <c r="Z27" s="347">
        <f t="shared" si="21"/>
        <v>0</v>
      </c>
      <c r="AA27" s="347">
        <f t="shared" si="21"/>
        <v>0</v>
      </c>
      <c r="AB27" s="347">
        <f t="shared" si="21"/>
        <v>0</v>
      </c>
      <c r="AC27" s="347">
        <f t="shared" si="21"/>
        <v>0</v>
      </c>
      <c r="AD27" s="347">
        <f t="shared" si="21"/>
        <v>0</v>
      </c>
      <c r="AE27" s="347"/>
      <c r="AF27" s="347"/>
      <c r="AG27" s="347"/>
      <c r="AH27" s="347"/>
      <c r="AI27" s="347"/>
      <c r="AJ27" s="347"/>
      <c r="AK27" s="347"/>
      <c r="AL27" s="347"/>
      <c r="AM27" s="347"/>
      <c r="AN27" s="347"/>
      <c r="AO27" s="366">
        <f t="shared" si="20"/>
        <v>150.49999999999991</v>
      </c>
      <c r="AP27" s="1362" t="s">
        <v>356</v>
      </c>
      <c r="AQ27" s="1363"/>
    </row>
    <row r="28" spans="1:45" x14ac:dyDescent="0.35">
      <c r="B28" s="386" t="s">
        <v>342</v>
      </c>
      <c r="C28" s="36"/>
      <c r="D28" s="368"/>
      <c r="E28" s="36"/>
      <c r="F28" s="36"/>
      <c r="G28" s="36"/>
      <c r="H28" s="37"/>
      <c r="I28" s="37"/>
      <c r="J28" s="37"/>
      <c r="K28" s="37"/>
      <c r="L28" s="37"/>
      <c r="M28" s="342">
        <f>C47/12*4</f>
        <v>9.6666666666666661</v>
      </c>
      <c r="N28" s="342">
        <f>M28</f>
        <v>9.6666666666666661</v>
      </c>
      <c r="O28" s="342">
        <f t="shared" ref="O28:X28" si="22">N28</f>
        <v>9.6666666666666661</v>
      </c>
      <c r="P28" s="238">
        <f t="shared" si="22"/>
        <v>9.6666666666666661</v>
      </c>
      <c r="Q28" s="342">
        <f t="shared" si="22"/>
        <v>9.6666666666666661</v>
      </c>
      <c r="R28" s="342">
        <f t="shared" si="22"/>
        <v>9.6666666666666661</v>
      </c>
      <c r="S28" s="342">
        <f t="shared" si="22"/>
        <v>9.6666666666666661</v>
      </c>
      <c r="T28" s="347">
        <f t="shared" si="22"/>
        <v>9.6666666666666661</v>
      </c>
      <c r="U28" s="347">
        <f t="shared" si="22"/>
        <v>9.6666666666666661</v>
      </c>
      <c r="V28" s="347">
        <f t="shared" si="22"/>
        <v>9.6666666666666661</v>
      </c>
      <c r="W28" s="347">
        <f t="shared" si="22"/>
        <v>9.6666666666666661</v>
      </c>
      <c r="X28" s="347">
        <f t="shared" si="22"/>
        <v>9.6666666666666661</v>
      </c>
      <c r="Y28" s="354"/>
      <c r="Z28" s="354"/>
      <c r="AA28" s="354"/>
      <c r="AB28" s="354"/>
      <c r="AC28" s="354"/>
      <c r="AD28" s="354"/>
      <c r="AE28" s="354"/>
      <c r="AF28" s="354"/>
      <c r="AG28" s="354"/>
      <c r="AH28" s="354"/>
      <c r="AI28" s="354"/>
      <c r="AJ28" s="354"/>
      <c r="AK28" s="354"/>
      <c r="AL28" s="354"/>
      <c r="AM28" s="354"/>
      <c r="AN28" s="354"/>
      <c r="AO28" s="366">
        <f t="shared" si="20"/>
        <v>29.000000000000004</v>
      </c>
      <c r="AP28" s="1362"/>
      <c r="AQ28" s="1363"/>
    </row>
    <row r="29" spans="1:45" ht="41.9" customHeight="1" x14ac:dyDescent="0.35">
      <c r="B29" s="386" t="s">
        <v>150</v>
      </c>
      <c r="C29" s="36"/>
      <c r="D29" s="368"/>
      <c r="E29" s="36"/>
      <c r="F29" s="36"/>
      <c r="G29" s="36"/>
      <c r="H29" s="37"/>
      <c r="I29" s="37"/>
      <c r="J29" s="37"/>
      <c r="K29" s="37"/>
      <c r="L29" s="37"/>
      <c r="M29" s="408">
        <f>C58/12*4 - 7</f>
        <v>20.333333333333332</v>
      </c>
      <c r="N29" s="408">
        <f>C58/12*4 + 20</f>
        <v>47.333333333333329</v>
      </c>
      <c r="O29" s="408">
        <v>37.3333333333333</v>
      </c>
      <c r="P29" s="338">
        <v>27.333333333333332</v>
      </c>
      <c r="Q29" s="408">
        <v>22.3333333333333</v>
      </c>
      <c r="R29" s="408">
        <v>22.3333333333333</v>
      </c>
      <c r="S29" s="408">
        <v>22.3333333333333</v>
      </c>
      <c r="T29" s="358">
        <v>22.3333333333333</v>
      </c>
      <c r="U29" s="358">
        <v>22.3333333333333</v>
      </c>
      <c r="V29" s="358">
        <v>22.3333333333333</v>
      </c>
      <c r="W29" s="358">
        <v>22.3333333333333</v>
      </c>
      <c r="X29" s="358">
        <v>22.3333333333333</v>
      </c>
      <c r="Y29" s="358">
        <v>19</v>
      </c>
      <c r="Z29" s="358"/>
      <c r="AA29" s="358"/>
      <c r="AB29" s="358"/>
      <c r="AC29" s="358"/>
      <c r="AD29" s="358"/>
      <c r="AE29" s="358"/>
      <c r="AF29" s="358"/>
      <c r="AG29" s="358"/>
      <c r="AH29" s="358"/>
      <c r="AI29" s="358"/>
      <c r="AJ29" s="358"/>
      <c r="AK29" s="358"/>
      <c r="AL29" s="358"/>
      <c r="AM29" s="358"/>
      <c r="AN29" s="358"/>
      <c r="AO29" s="366">
        <f t="shared" si="20"/>
        <v>82.499999999999943</v>
      </c>
      <c r="AP29" s="427" t="s">
        <v>357</v>
      </c>
    </row>
    <row r="30" spans="1:45" x14ac:dyDescent="0.35">
      <c r="B30" s="386" t="s">
        <v>152</v>
      </c>
      <c r="C30" s="36"/>
      <c r="D30" s="368"/>
      <c r="E30" s="36"/>
      <c r="F30" s="36"/>
      <c r="G30" s="36"/>
      <c r="H30" s="37"/>
      <c r="I30" s="37"/>
      <c r="J30" s="37"/>
      <c r="K30" s="37"/>
      <c r="L30" s="37"/>
      <c r="M30" s="342">
        <f>C59/12*4</f>
        <v>1</v>
      </c>
      <c r="N30" s="342">
        <f>C59/12*4</f>
        <v>1</v>
      </c>
      <c r="O30" s="342">
        <f t="shared" ref="O30:X30" si="23">$C$59/12*4</f>
        <v>1</v>
      </c>
      <c r="P30" s="238">
        <f t="shared" si="23"/>
        <v>1</v>
      </c>
      <c r="Q30" s="342">
        <f t="shared" si="23"/>
        <v>1</v>
      </c>
      <c r="R30" s="342">
        <f t="shared" si="23"/>
        <v>1</v>
      </c>
      <c r="S30" s="342">
        <f t="shared" si="23"/>
        <v>1</v>
      </c>
      <c r="T30" s="347">
        <f t="shared" si="23"/>
        <v>1</v>
      </c>
      <c r="U30" s="347">
        <f t="shared" si="23"/>
        <v>1</v>
      </c>
      <c r="V30" s="347">
        <f t="shared" si="23"/>
        <v>1</v>
      </c>
      <c r="W30" s="347">
        <f t="shared" si="23"/>
        <v>1</v>
      </c>
      <c r="X30" s="347">
        <f t="shared" si="23"/>
        <v>1</v>
      </c>
      <c r="Y30" s="354"/>
      <c r="Z30" s="354"/>
      <c r="AA30" s="354"/>
      <c r="AB30" s="354"/>
      <c r="AC30" s="354"/>
      <c r="AD30" s="354"/>
      <c r="AE30" s="354"/>
      <c r="AF30" s="354"/>
      <c r="AG30" s="354"/>
      <c r="AH30" s="354"/>
      <c r="AI30" s="354"/>
      <c r="AJ30" s="354"/>
      <c r="AK30" s="354"/>
      <c r="AL30" s="354"/>
      <c r="AM30" s="354"/>
      <c r="AN30" s="354"/>
      <c r="AO30" s="366">
        <f t="shared" si="20"/>
        <v>3</v>
      </c>
      <c r="AP30" s="37"/>
    </row>
    <row r="31" spans="1:45" ht="13.4" customHeight="1" x14ac:dyDescent="0.35">
      <c r="B31" s="386" t="s">
        <v>358</v>
      </c>
      <c r="C31" s="36"/>
      <c r="D31" s="368"/>
      <c r="E31" s="36"/>
      <c r="F31" s="36"/>
      <c r="G31" s="36"/>
      <c r="H31" s="37"/>
      <c r="I31" s="37"/>
      <c r="J31" s="37"/>
      <c r="K31" s="37"/>
      <c r="L31" s="37"/>
      <c r="M31" s="342">
        <f t="shared" ref="M31:X31" si="24">$C$60/12*4</f>
        <v>11.333333333333334</v>
      </c>
      <c r="N31" s="342">
        <f t="shared" si="24"/>
        <v>11.333333333333334</v>
      </c>
      <c r="O31" s="342">
        <f t="shared" si="24"/>
        <v>11.333333333333334</v>
      </c>
      <c r="P31" s="238">
        <f t="shared" si="24"/>
        <v>11.333333333333334</v>
      </c>
      <c r="Q31" s="342">
        <f t="shared" si="24"/>
        <v>11.333333333333334</v>
      </c>
      <c r="R31" s="342">
        <f t="shared" si="24"/>
        <v>11.333333333333334</v>
      </c>
      <c r="S31" s="342">
        <f t="shared" si="24"/>
        <v>11.333333333333334</v>
      </c>
      <c r="T31" s="347">
        <f t="shared" si="24"/>
        <v>11.333333333333334</v>
      </c>
      <c r="U31" s="347">
        <f t="shared" si="24"/>
        <v>11.333333333333334</v>
      </c>
      <c r="V31" s="347">
        <f t="shared" si="24"/>
        <v>11.333333333333334</v>
      </c>
      <c r="W31" s="347">
        <f t="shared" si="24"/>
        <v>11.333333333333334</v>
      </c>
      <c r="X31" s="347">
        <f t="shared" si="24"/>
        <v>11.333333333333334</v>
      </c>
      <c r="Y31" s="354"/>
      <c r="Z31" s="354"/>
      <c r="AA31" s="354"/>
      <c r="AB31" s="354"/>
      <c r="AC31" s="354"/>
      <c r="AD31" s="354"/>
      <c r="AE31" s="354"/>
      <c r="AF31" s="354"/>
      <c r="AG31" s="354"/>
      <c r="AH31" s="354"/>
      <c r="AI31" s="354"/>
      <c r="AJ31" s="354"/>
      <c r="AK31" s="354"/>
      <c r="AL31" s="354"/>
      <c r="AM31" s="354"/>
      <c r="AN31" s="354"/>
      <c r="AO31" s="366">
        <f t="shared" si="20"/>
        <v>33.999999999999993</v>
      </c>
      <c r="AP31" s="37"/>
    </row>
    <row r="32" spans="1:45" ht="29.25" customHeight="1" x14ac:dyDescent="0.35">
      <c r="B32" s="386" t="s">
        <v>359</v>
      </c>
      <c r="C32" s="36"/>
      <c r="D32" s="368"/>
      <c r="E32" s="36"/>
      <c r="F32" s="36"/>
      <c r="G32" s="36"/>
      <c r="H32" s="37"/>
      <c r="I32" s="37"/>
      <c r="J32" s="37"/>
      <c r="K32" s="37"/>
      <c r="L32" s="37"/>
      <c r="M32" s="342">
        <f t="shared" ref="M32:X32" si="25">$C$61/12*4</f>
        <v>0.66666666666666663</v>
      </c>
      <c r="N32" s="342">
        <f t="shared" si="25"/>
        <v>0.66666666666666663</v>
      </c>
      <c r="O32" s="342">
        <f t="shared" si="25"/>
        <v>0.66666666666666663</v>
      </c>
      <c r="P32" s="238">
        <f t="shared" si="25"/>
        <v>0.66666666666666663</v>
      </c>
      <c r="Q32" s="342">
        <f t="shared" si="25"/>
        <v>0.66666666666666663</v>
      </c>
      <c r="R32" s="342">
        <f t="shared" si="25"/>
        <v>0.66666666666666663</v>
      </c>
      <c r="S32" s="342">
        <f t="shared" si="25"/>
        <v>0.66666666666666663</v>
      </c>
      <c r="T32" s="347">
        <f t="shared" si="25"/>
        <v>0.66666666666666663</v>
      </c>
      <c r="U32" s="347">
        <f t="shared" si="25"/>
        <v>0.66666666666666663</v>
      </c>
      <c r="V32" s="347">
        <f t="shared" si="25"/>
        <v>0.66666666666666663</v>
      </c>
      <c r="W32" s="347">
        <f t="shared" si="25"/>
        <v>0.66666666666666663</v>
      </c>
      <c r="X32" s="347">
        <f t="shared" si="25"/>
        <v>0.66666666666666663</v>
      </c>
      <c r="Y32" s="354"/>
      <c r="Z32" s="354"/>
      <c r="AA32" s="354"/>
      <c r="AB32" s="354"/>
      <c r="AC32" s="354"/>
      <c r="AD32" s="354"/>
      <c r="AE32" s="354"/>
      <c r="AF32" s="354"/>
      <c r="AG32" s="354"/>
      <c r="AH32" s="354"/>
      <c r="AI32" s="354"/>
      <c r="AJ32" s="354"/>
      <c r="AK32" s="354"/>
      <c r="AL32" s="354"/>
      <c r="AM32" s="354"/>
      <c r="AN32" s="354"/>
      <c r="AO32" s="366">
        <f t="shared" si="20"/>
        <v>2</v>
      </c>
      <c r="AP32" s="37"/>
    </row>
    <row r="33" spans="1:99" ht="44.25" customHeight="1" x14ac:dyDescent="0.35">
      <c r="B33" s="421" t="s">
        <v>360</v>
      </c>
      <c r="C33" s="36"/>
      <c r="D33" s="368"/>
      <c r="E33" s="36"/>
      <c r="F33" s="36"/>
      <c r="G33" s="36"/>
      <c r="H33" s="37"/>
      <c r="I33" s="37"/>
      <c r="J33" s="37"/>
      <c r="K33" s="37"/>
      <c r="L33" s="37"/>
      <c r="M33" s="342"/>
      <c r="N33" s="342">
        <f t="shared" ref="N33:AC33" si="26">SUM(N34:N38)</f>
        <v>954.03959999999972</v>
      </c>
      <c r="O33" s="342">
        <f t="shared" si="26"/>
        <v>85.500399999999999</v>
      </c>
      <c r="P33" s="238">
        <f t="shared" si="26"/>
        <v>83.481000000000009</v>
      </c>
      <c r="Q33" s="342">
        <f t="shared" si="26"/>
        <v>662.76099999999997</v>
      </c>
      <c r="R33" s="342">
        <f t="shared" si="26"/>
        <v>83.481000000000009</v>
      </c>
      <c r="S33" s="342">
        <f t="shared" si="26"/>
        <v>83.481000000000009</v>
      </c>
      <c r="T33" s="347">
        <f t="shared" si="26"/>
        <v>62.811999999999998</v>
      </c>
      <c r="U33" s="347">
        <f t="shared" si="26"/>
        <v>62.811999999999998</v>
      </c>
      <c r="V33" s="347">
        <f t="shared" si="26"/>
        <v>62.811999999999998</v>
      </c>
      <c r="W33" s="347">
        <f t="shared" si="26"/>
        <v>62.811999999999998</v>
      </c>
      <c r="X33" s="347">
        <f t="shared" si="26"/>
        <v>41.554000000000002</v>
      </c>
      <c r="Y33" s="347">
        <f t="shared" si="26"/>
        <v>41.554000000000002</v>
      </c>
      <c r="Z33" s="347">
        <f t="shared" si="26"/>
        <v>41.554000000000002</v>
      </c>
      <c r="AA33" s="347">
        <f t="shared" si="26"/>
        <v>41.554000000000002</v>
      </c>
      <c r="AB33" s="347">
        <f t="shared" si="26"/>
        <v>27.678000000000001</v>
      </c>
      <c r="AC33" s="347">
        <f t="shared" si="26"/>
        <v>27.678000000000001</v>
      </c>
      <c r="AD33" s="347">
        <f>SUM(AD34:AD38)</f>
        <v>27.678000000000001</v>
      </c>
      <c r="AE33" s="347"/>
      <c r="AF33" s="347"/>
      <c r="AG33" s="347"/>
      <c r="AH33" s="347"/>
      <c r="AI33" s="347"/>
      <c r="AJ33" s="347"/>
      <c r="AK33" s="347"/>
      <c r="AL33" s="347"/>
      <c r="AM33" s="347"/>
      <c r="AN33" s="347"/>
      <c r="AO33" s="366">
        <f t="shared" si="20"/>
        <v>571.77499999999986</v>
      </c>
      <c r="AP33" s="1362" t="s">
        <v>361</v>
      </c>
      <c r="AQ33" s="1363"/>
    </row>
    <row r="34" spans="1:99" ht="17.899999999999999" customHeight="1" x14ac:dyDescent="0.35">
      <c r="B34" s="386" t="s">
        <v>347</v>
      </c>
      <c r="C34" s="36"/>
      <c r="D34" s="368"/>
      <c r="E34" s="36"/>
      <c r="F34" s="36"/>
      <c r="G34" s="36"/>
      <c r="H34" s="37"/>
      <c r="I34" s="37"/>
      <c r="J34" s="37"/>
      <c r="K34" s="37"/>
      <c r="L34" s="37"/>
      <c r="M34" s="342"/>
      <c r="N34" s="342">
        <f>0.6*C63*4</f>
        <v>868.91999999999985</v>
      </c>
      <c r="O34" s="342"/>
      <c r="P34" s="238"/>
      <c r="Q34" s="342">
        <f>0.4*C63*4</f>
        <v>579.28</v>
      </c>
      <c r="R34" s="342"/>
      <c r="S34" s="342"/>
      <c r="T34" s="347"/>
      <c r="U34" s="347"/>
      <c r="V34" s="347"/>
      <c r="W34" s="347"/>
      <c r="X34" s="347"/>
      <c r="Y34" s="347"/>
      <c r="Z34" s="347"/>
      <c r="AA34" s="347"/>
      <c r="AB34" s="347"/>
      <c r="AC34" s="347"/>
      <c r="AD34" s="347"/>
      <c r="AE34" s="347"/>
      <c r="AF34" s="347"/>
      <c r="AG34" s="347"/>
      <c r="AH34" s="347"/>
      <c r="AI34" s="347"/>
      <c r="AJ34" s="347"/>
      <c r="AK34" s="347"/>
      <c r="AL34" s="347"/>
      <c r="AM34" s="347"/>
      <c r="AN34" s="347"/>
      <c r="AO34" s="366">
        <f t="shared" si="20"/>
        <v>362.04999999999995</v>
      </c>
      <c r="AP34" s="404" t="s">
        <v>362</v>
      </c>
      <c r="AQ34" s="404"/>
    </row>
    <row r="35" spans="1:99" x14ac:dyDescent="0.35">
      <c r="B35" s="386" t="s">
        <v>150</v>
      </c>
      <c r="C35" s="36"/>
      <c r="D35" s="368"/>
      <c r="E35" s="36"/>
      <c r="F35" s="36"/>
      <c r="G35" s="36"/>
      <c r="H35" s="37"/>
      <c r="I35" s="37"/>
      <c r="J35" s="37"/>
      <c r="K35" s="37"/>
      <c r="L35" s="37"/>
      <c r="M35" s="342"/>
      <c r="N35" s="342">
        <f>'ARP Quarterly'!D9</f>
        <v>24.693999999999999</v>
      </c>
      <c r="O35" s="342">
        <f>'ARP Quarterly'!E9</f>
        <v>24.693999999999999</v>
      </c>
      <c r="P35" s="238">
        <f>'ARP Quarterly'!F9</f>
        <v>46.79</v>
      </c>
      <c r="Q35" s="342">
        <f>'ARP Quarterly'!G9</f>
        <v>46.79</v>
      </c>
      <c r="R35" s="342">
        <f>'ARP Quarterly'!H9</f>
        <v>46.79</v>
      </c>
      <c r="S35" s="342">
        <f>'ARP Quarterly'!I9</f>
        <v>46.79</v>
      </c>
      <c r="T35" s="347">
        <f>'ARP Quarterly'!J9</f>
        <v>38.595999999999997</v>
      </c>
      <c r="U35" s="347">
        <f>'ARP Quarterly'!K9</f>
        <v>38.595999999999997</v>
      </c>
      <c r="V35" s="347">
        <f>'ARP Quarterly'!L9</f>
        <v>38.595999999999997</v>
      </c>
      <c r="W35" s="347">
        <f>'ARP Quarterly'!M9</f>
        <v>38.595999999999997</v>
      </c>
      <c r="X35" s="347">
        <f>'ARP Quarterly'!N9</f>
        <v>31.911000000000001</v>
      </c>
      <c r="Y35" s="347">
        <f>'ARP Quarterly'!O9</f>
        <v>31.911000000000001</v>
      </c>
      <c r="Z35" s="347">
        <f>'ARP Quarterly'!P9</f>
        <v>31.911000000000001</v>
      </c>
      <c r="AA35" s="347">
        <f>'ARP Quarterly'!Q9</f>
        <v>31.911000000000001</v>
      </c>
      <c r="AB35" s="347">
        <f>'ARP Quarterly'!R9</f>
        <v>23.099</v>
      </c>
      <c r="AC35" s="347">
        <f>'ARP Quarterly'!S9</f>
        <v>23.099</v>
      </c>
      <c r="AD35" s="347">
        <f>'ARP Quarterly'!T9</f>
        <v>23.099</v>
      </c>
      <c r="AE35" s="347"/>
      <c r="AF35" s="347"/>
      <c r="AG35" s="347"/>
      <c r="AH35" s="347"/>
      <c r="AI35" s="347"/>
      <c r="AJ35" s="347"/>
      <c r="AK35" s="347"/>
      <c r="AL35" s="347"/>
      <c r="AM35" s="347"/>
      <c r="AN35" s="347"/>
      <c r="AO35" s="366">
        <f t="shared" si="20"/>
        <v>113.68849999999999</v>
      </c>
      <c r="AP35" s="342"/>
    </row>
    <row r="36" spans="1:99" x14ac:dyDescent="0.35">
      <c r="B36" s="386" t="s">
        <v>152</v>
      </c>
      <c r="C36" s="36"/>
      <c r="D36" s="368"/>
      <c r="E36" s="36"/>
      <c r="F36" s="36"/>
      <c r="G36" s="36"/>
      <c r="H36" s="37"/>
      <c r="I36" s="37"/>
      <c r="J36" s="37"/>
      <c r="K36" s="37"/>
      <c r="L36" s="37"/>
      <c r="M36" s="342"/>
      <c r="N36" s="342">
        <f>'ARP Quarterly'!D14</f>
        <v>1.1696</v>
      </c>
      <c r="O36" s="342">
        <f>'ARP Quarterly'!E14</f>
        <v>1.5503999999999998</v>
      </c>
      <c r="P36" s="238">
        <f>'ARP Quarterly'!F14</f>
        <v>1.02</v>
      </c>
      <c r="Q36" s="342">
        <f>'ARP Quarterly'!G14</f>
        <v>1.02</v>
      </c>
      <c r="R36" s="342">
        <f>'ARP Quarterly'!H14</f>
        <v>1.02</v>
      </c>
      <c r="S36" s="342">
        <f>'ARP Quarterly'!I14</f>
        <v>1.02</v>
      </c>
      <c r="T36" s="347">
        <f>'ARP Quarterly'!J14</f>
        <v>0</v>
      </c>
      <c r="U36" s="347">
        <f>'ARP Quarterly'!K14</f>
        <v>0</v>
      </c>
      <c r="V36" s="347">
        <f>'ARP Quarterly'!L14</f>
        <v>0</v>
      </c>
      <c r="W36" s="347">
        <f>'ARP Quarterly'!M14</f>
        <v>0</v>
      </c>
      <c r="X36" s="347">
        <f>'ARP Quarterly'!N14</f>
        <v>0</v>
      </c>
      <c r="Y36" s="347">
        <f>'ARP Quarterly'!O14</f>
        <v>0</v>
      </c>
      <c r="Z36" s="347">
        <f>'ARP Quarterly'!P14</f>
        <v>0</v>
      </c>
      <c r="AA36" s="347">
        <f>'ARP Quarterly'!Q14</f>
        <v>0</v>
      </c>
      <c r="AB36" s="347">
        <f>'ARP Quarterly'!R14</f>
        <v>0</v>
      </c>
      <c r="AC36" s="347">
        <f>'ARP Quarterly'!S14</f>
        <v>0</v>
      </c>
      <c r="AD36" s="347">
        <f>'ARP Quarterly'!T14</f>
        <v>0</v>
      </c>
      <c r="AE36" s="347"/>
      <c r="AF36" s="347"/>
      <c r="AG36" s="347"/>
      <c r="AH36" s="347"/>
      <c r="AI36" s="347"/>
      <c r="AJ36" s="347"/>
      <c r="AK36" s="347"/>
      <c r="AL36" s="347"/>
      <c r="AM36" s="347"/>
      <c r="AN36" s="347"/>
      <c r="AO36" s="366">
        <f t="shared" si="20"/>
        <v>1.6999999999999997</v>
      </c>
      <c r="AP36" s="342"/>
    </row>
    <row r="37" spans="1:99" x14ac:dyDescent="0.35">
      <c r="B37" s="386" t="s">
        <v>363</v>
      </c>
      <c r="C37" s="36"/>
      <c r="D37" s="368"/>
      <c r="E37" s="36"/>
      <c r="F37" s="36"/>
      <c r="G37" s="36"/>
      <c r="H37" s="37"/>
      <c r="I37" s="37"/>
      <c r="J37" s="37"/>
      <c r="K37" s="37"/>
      <c r="L37" s="37"/>
      <c r="M37" s="342"/>
      <c r="N37" s="342">
        <f>'ARP Quarterly'!D10</f>
        <v>59.256</v>
      </c>
      <c r="O37" s="342">
        <f>'ARP Quarterly'!E10</f>
        <v>59.256</v>
      </c>
      <c r="P37" s="238">
        <f>'ARP Quarterly'!F10</f>
        <v>35.671000000000006</v>
      </c>
      <c r="Q37" s="342">
        <f>'ARP Quarterly'!G10</f>
        <v>35.671000000000006</v>
      </c>
      <c r="R37" s="342">
        <f>'ARP Quarterly'!H10</f>
        <v>35.671000000000006</v>
      </c>
      <c r="S37" s="342">
        <f>'ARP Quarterly'!I10</f>
        <v>35.671000000000006</v>
      </c>
      <c r="T37" s="347">
        <f>'ARP Quarterly'!J10</f>
        <v>24.216000000000001</v>
      </c>
      <c r="U37" s="347">
        <f>'ARP Quarterly'!K10</f>
        <v>24.216000000000001</v>
      </c>
      <c r="V37" s="347">
        <f>'ARP Quarterly'!L10</f>
        <v>24.216000000000001</v>
      </c>
      <c r="W37" s="347">
        <f>'ARP Quarterly'!M10</f>
        <v>24.216000000000001</v>
      </c>
      <c r="X37" s="347">
        <f>'ARP Quarterly'!N10</f>
        <v>9.6430000000000007</v>
      </c>
      <c r="Y37" s="347">
        <f>'ARP Quarterly'!O10</f>
        <v>9.6430000000000007</v>
      </c>
      <c r="Z37" s="347">
        <f>'ARP Quarterly'!P10</f>
        <v>9.6430000000000007</v>
      </c>
      <c r="AA37" s="347">
        <f>'ARP Quarterly'!Q10</f>
        <v>9.6430000000000007</v>
      </c>
      <c r="AB37" s="347">
        <f>'ARP Quarterly'!R10</f>
        <v>4.5789999999999997</v>
      </c>
      <c r="AC37" s="347">
        <f>'ARP Quarterly'!S10</f>
        <v>4.5789999999999997</v>
      </c>
      <c r="AD37" s="347">
        <f>'ARP Quarterly'!T10</f>
        <v>4.5789999999999997</v>
      </c>
      <c r="AE37" s="347"/>
      <c r="AF37" s="347"/>
      <c r="AG37" s="347"/>
      <c r="AH37" s="347"/>
      <c r="AI37" s="347"/>
      <c r="AJ37" s="347"/>
      <c r="AK37" s="347"/>
      <c r="AL37" s="347"/>
      <c r="AM37" s="347"/>
      <c r="AN37" s="347"/>
      <c r="AO37" s="366">
        <f>SUM(I37:Y37)/4</f>
        <v>94.336500000000001</v>
      </c>
      <c r="AP37" s="342"/>
    </row>
    <row r="38" spans="1:99" x14ac:dyDescent="0.35">
      <c r="A38" s="2"/>
      <c r="B38" s="399"/>
      <c r="C38" s="396"/>
      <c r="D38" s="394"/>
      <c r="E38" s="396"/>
      <c r="F38" s="396"/>
      <c r="G38" s="396"/>
      <c r="H38" s="401"/>
      <c r="I38" s="401"/>
      <c r="J38" s="401"/>
      <c r="K38" s="401"/>
      <c r="L38" s="401"/>
      <c r="M38" s="343"/>
      <c r="N38" s="343"/>
      <c r="O38" s="343"/>
      <c r="P38" s="339"/>
      <c r="Q38" s="343"/>
      <c r="R38" s="343"/>
      <c r="S38" s="343"/>
      <c r="T38" s="405"/>
      <c r="U38" s="405"/>
      <c r="V38" s="405"/>
      <c r="W38" s="405"/>
      <c r="X38" s="405"/>
      <c r="Y38" s="405"/>
      <c r="Z38" s="405"/>
      <c r="AA38" s="405"/>
      <c r="AB38" s="405"/>
      <c r="AC38" s="405"/>
      <c r="AD38" s="405"/>
      <c r="AE38" s="405"/>
      <c r="AF38" s="405"/>
      <c r="AG38" s="405"/>
      <c r="AH38" s="405"/>
      <c r="AI38" s="405"/>
      <c r="AJ38" s="405"/>
      <c r="AK38" s="405"/>
      <c r="AL38" s="405"/>
      <c r="AM38" s="405"/>
      <c r="AN38" s="405"/>
      <c r="AO38" s="416"/>
      <c r="AP38" s="34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row>
    <row r="39" spans="1:99" x14ac:dyDescent="0.35">
      <c r="B39" s="356"/>
      <c r="C39" s="36"/>
      <c r="D39" s="36"/>
      <c r="E39" s="36"/>
      <c r="F39" s="36"/>
      <c r="G39" s="36"/>
      <c r="H39" s="36"/>
      <c r="I39" s="36"/>
      <c r="J39" s="36"/>
      <c r="K39" s="36"/>
      <c r="L39" s="36"/>
      <c r="M39" s="36"/>
      <c r="N39" s="36"/>
      <c r="O39" s="36"/>
      <c r="P39" s="388"/>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6"/>
      <c r="C40" s="36"/>
      <c r="D40" s="36"/>
      <c r="E40" s="36"/>
      <c r="F40" s="36"/>
      <c r="G40" s="36"/>
      <c r="H40" s="36"/>
      <c r="I40" s="36"/>
      <c r="J40" s="36"/>
      <c r="K40" s="36"/>
      <c r="L40" s="36"/>
      <c r="M40" s="36"/>
      <c r="N40" s="36"/>
      <c r="O40" s="36"/>
      <c r="P40" s="388"/>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6" t="s">
        <v>364</v>
      </c>
      <c r="H41" s="37"/>
      <c r="I41" s="37"/>
      <c r="J41" s="37"/>
      <c r="K41" s="37"/>
      <c r="L41" s="37"/>
      <c r="M41" s="37"/>
      <c r="N41" s="37"/>
      <c r="O41" s="37"/>
      <c r="P41" s="242"/>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4" t="s">
        <v>365</v>
      </c>
      <c r="C42" s="425" t="s">
        <v>366</v>
      </c>
      <c r="D42" s="426" t="s">
        <v>367</v>
      </c>
      <c r="E42" s="411" t="s">
        <v>368</v>
      </c>
      <c r="F42" s="37"/>
      <c r="G42" s="37"/>
      <c r="H42" s="37"/>
      <c r="I42" s="37"/>
      <c r="J42" s="37"/>
      <c r="K42" s="37"/>
      <c r="L42" s="37"/>
      <c r="M42" s="37"/>
      <c r="N42" s="37"/>
      <c r="O42" s="37"/>
      <c r="P42" s="242"/>
      <c r="Q42" s="37"/>
      <c r="R42" s="37"/>
      <c r="S42" s="37"/>
      <c r="T42" s="37"/>
      <c r="U42" s="37"/>
      <c r="V42" s="37"/>
      <c r="W42" s="37"/>
    </row>
    <row r="43" spans="1:99" ht="18.75" customHeight="1" x14ac:dyDescent="0.35">
      <c r="B43" s="430" t="s">
        <v>369</v>
      </c>
      <c r="C43" s="402">
        <f>SUM(C44:C49)</f>
        <v>898.11599999999999</v>
      </c>
      <c r="D43" s="37">
        <f>SUM(D44:D48)</f>
        <v>202.36666666666667</v>
      </c>
      <c r="E43" s="372">
        <f>SUM(E44:E48)</f>
        <v>650.35233333333326</v>
      </c>
      <c r="F43" s="37"/>
      <c r="G43" s="37"/>
      <c r="H43" s="37"/>
      <c r="I43" s="37"/>
      <c r="J43" s="37"/>
      <c r="K43" s="37"/>
      <c r="L43" s="37"/>
      <c r="M43" s="37"/>
      <c r="N43" s="37"/>
      <c r="O43" s="37"/>
      <c r="P43" s="242"/>
      <c r="Q43" s="37"/>
      <c r="R43" s="37"/>
      <c r="S43" s="37"/>
      <c r="T43" s="37"/>
      <c r="U43" s="37"/>
      <c r="V43" s="37"/>
      <c r="W43" s="37"/>
    </row>
    <row r="44" spans="1:99" x14ac:dyDescent="0.35">
      <c r="B44" s="429" t="s">
        <v>149</v>
      </c>
      <c r="C44" s="402">
        <f>C53</f>
        <v>150</v>
      </c>
      <c r="D44" s="37">
        <f>SUM(H12:M12)/4</f>
        <v>149.47499999999999</v>
      </c>
      <c r="E44" s="366">
        <f>C44-D44</f>
        <v>0.52500000000000568</v>
      </c>
      <c r="F44" s="37"/>
      <c r="G44" s="37"/>
      <c r="H44" s="37"/>
      <c r="I44" s="392"/>
      <c r="J44" s="392"/>
      <c r="K44" s="392"/>
      <c r="L44" s="392"/>
      <c r="M44" s="392"/>
      <c r="N44" s="392"/>
      <c r="O44" s="392"/>
      <c r="P44" s="437"/>
      <c r="Q44" s="37"/>
      <c r="R44" s="37"/>
      <c r="S44" s="37"/>
      <c r="T44" s="37"/>
      <c r="U44" s="37"/>
      <c r="V44" s="37"/>
      <c r="W44" s="37"/>
    </row>
    <row r="45" spans="1:99" x14ac:dyDescent="0.35">
      <c r="B45" s="429" t="s">
        <v>150</v>
      </c>
      <c r="C45" s="431">
        <f>C54+C58+C64</f>
        <v>273.16899999999998</v>
      </c>
      <c r="D45" s="37">
        <f>SUM(H13:M13)/4</f>
        <v>22.075000000000003</v>
      </c>
      <c r="E45" s="366">
        <f>C45-D45</f>
        <v>251.09399999999999</v>
      </c>
      <c r="F45" s="37"/>
      <c r="G45" s="37"/>
      <c r="H45" s="37"/>
      <c r="I45" s="392"/>
      <c r="J45" s="392"/>
      <c r="K45" s="392"/>
      <c r="L45" s="392"/>
      <c r="M45" s="392"/>
      <c r="N45" s="392"/>
      <c r="O45" s="392"/>
      <c r="P45" s="437"/>
      <c r="Q45" s="37"/>
      <c r="R45" s="37"/>
      <c r="S45" s="37"/>
      <c r="T45" s="37"/>
      <c r="U45" s="37"/>
      <c r="V45" s="37"/>
      <c r="W45" s="37"/>
    </row>
    <row r="46" spans="1:99" x14ac:dyDescent="0.35">
      <c r="B46" s="429" t="s">
        <v>152</v>
      </c>
      <c r="C46" s="271">
        <f>C55+C65+C59</f>
        <v>38.5</v>
      </c>
      <c r="D46" s="37">
        <f>SUM(H14:M14)/4</f>
        <v>28.400000000000002</v>
      </c>
      <c r="E46" s="366">
        <f>C46-D46</f>
        <v>10.099999999999998</v>
      </c>
      <c r="F46" s="37"/>
      <c r="G46" s="37"/>
      <c r="H46" s="37"/>
      <c r="I46" s="392"/>
      <c r="J46" s="392"/>
      <c r="K46" s="392"/>
      <c r="L46" s="392"/>
      <c r="M46" s="392"/>
      <c r="N46" s="392"/>
      <c r="O46" s="392"/>
      <c r="P46" s="437"/>
      <c r="Q46" s="1369"/>
      <c r="R46" s="1369"/>
      <c r="S46" s="1369"/>
      <c r="T46" s="1369"/>
      <c r="U46" s="1369"/>
      <c r="V46" s="1369"/>
      <c r="W46" s="1369"/>
      <c r="X46" s="1369"/>
      <c r="Y46" s="1369"/>
      <c r="Z46" s="1369"/>
      <c r="AA46" s="1369"/>
      <c r="AB46" s="1369"/>
      <c r="AC46" s="1369"/>
      <c r="AD46" s="1369"/>
      <c r="AE46" s="1369"/>
      <c r="AF46" s="1369"/>
      <c r="AG46" s="1369"/>
      <c r="AH46" s="1369"/>
      <c r="AI46" s="1369"/>
      <c r="AJ46" s="1369"/>
      <c r="AK46" s="1369"/>
      <c r="AL46" s="1369"/>
      <c r="AM46" s="1369"/>
      <c r="AN46" s="1369"/>
      <c r="AO46" s="1369"/>
      <c r="AP46" s="1369"/>
      <c r="AQ46" s="1369"/>
      <c r="AR46" s="1369"/>
      <c r="AS46" s="1369"/>
    </row>
    <row r="47" spans="1:99" ht="17.25" customHeight="1" x14ac:dyDescent="0.35">
      <c r="B47" s="429" t="s">
        <v>370</v>
      </c>
      <c r="C47" s="271">
        <f>C57</f>
        <v>29</v>
      </c>
      <c r="D47" s="37">
        <f>SUM(H15:M15)/4</f>
        <v>2.4166666666666665</v>
      </c>
      <c r="E47" s="366">
        <f>C47-D47</f>
        <v>26.583333333333332</v>
      </c>
      <c r="F47" s="37"/>
      <c r="G47" s="37"/>
      <c r="H47" s="37"/>
      <c r="I47" s="392"/>
      <c r="J47" s="392"/>
      <c r="K47" s="392"/>
      <c r="L47" s="392"/>
      <c r="M47" s="392"/>
      <c r="N47" s="392"/>
      <c r="O47" s="392"/>
      <c r="P47" s="437"/>
      <c r="Q47" s="1370"/>
      <c r="R47" s="1370"/>
      <c r="S47" s="1370"/>
      <c r="T47" s="1370"/>
      <c r="U47" s="1370"/>
      <c r="V47" s="1370"/>
      <c r="W47" s="1370"/>
      <c r="X47" s="1370"/>
      <c r="Y47" s="1370"/>
      <c r="Z47" s="229"/>
      <c r="AA47" s="229"/>
      <c r="AB47" s="229"/>
      <c r="AC47" s="229"/>
      <c r="AD47" s="229"/>
      <c r="AE47" s="229"/>
      <c r="AF47" s="229"/>
      <c r="AG47" s="229"/>
      <c r="AH47" s="229"/>
      <c r="AI47" s="229"/>
      <c r="AJ47" s="229"/>
      <c r="AK47" s="229"/>
      <c r="AL47" s="229"/>
      <c r="AM47" s="229"/>
      <c r="AN47" s="229"/>
      <c r="AO47" s="1370"/>
      <c r="AP47" s="1370"/>
      <c r="AQ47" s="1370"/>
      <c r="AR47" s="1370"/>
      <c r="AS47" s="229"/>
    </row>
    <row r="48" spans="1:99" ht="15.75" customHeight="1" x14ac:dyDescent="0.35">
      <c r="B48" s="429" t="s">
        <v>347</v>
      </c>
      <c r="C48" s="271">
        <f>C63</f>
        <v>362.04999999999995</v>
      </c>
      <c r="D48" s="37">
        <v>0</v>
      </c>
      <c r="E48" s="366">
        <f>C48-D48</f>
        <v>362.04999999999995</v>
      </c>
      <c r="F48" s="37"/>
      <c r="G48" s="37"/>
      <c r="H48" s="37"/>
      <c r="I48" s="392"/>
      <c r="J48" s="392"/>
      <c r="K48" s="392"/>
      <c r="L48" s="392"/>
      <c r="M48" s="392"/>
      <c r="N48" s="392"/>
      <c r="O48" s="392"/>
      <c r="P48" s="437"/>
      <c r="Q48" s="229"/>
      <c r="R48" s="229"/>
      <c r="S48" s="229"/>
      <c r="T48" s="229"/>
      <c r="U48" s="229"/>
      <c r="V48" s="229"/>
      <c r="W48" s="229"/>
      <c r="X48" s="229"/>
      <c r="Y48" s="229"/>
      <c r="Z48" s="229"/>
      <c r="AA48" s="229"/>
      <c r="AB48" s="229"/>
      <c r="AC48" s="229"/>
      <c r="AD48" s="229"/>
      <c r="AE48" s="229"/>
      <c r="AF48" s="229"/>
      <c r="AG48" s="229"/>
      <c r="AH48" s="229"/>
      <c r="AI48" s="229"/>
      <c r="AJ48" s="229"/>
      <c r="AK48" s="229"/>
      <c r="AL48" s="229"/>
      <c r="AM48" s="229"/>
      <c r="AN48" s="229"/>
      <c r="AO48" s="229"/>
      <c r="AP48" s="229"/>
      <c r="AQ48" s="229"/>
      <c r="AR48" s="229"/>
      <c r="AS48" s="229"/>
    </row>
    <row r="49" spans="1:23" ht="15" customHeight="1" x14ac:dyDescent="0.35">
      <c r="B49" s="428" t="s">
        <v>371</v>
      </c>
      <c r="C49" s="402">
        <f>C66+C67+C60+C61</f>
        <v>45.396999999999998</v>
      </c>
      <c r="D49" s="37"/>
      <c r="E49" s="366"/>
      <c r="F49" s="37"/>
      <c r="G49" s="37"/>
      <c r="H49" s="37"/>
      <c r="I49" s="392"/>
      <c r="J49" s="392"/>
      <c r="K49" s="392"/>
      <c r="L49" s="392"/>
      <c r="M49" s="392"/>
      <c r="N49" s="392"/>
      <c r="O49" s="392"/>
      <c r="P49" s="437"/>
      <c r="Q49" s="37"/>
      <c r="R49" s="37"/>
      <c r="S49" s="37"/>
      <c r="T49" s="37"/>
      <c r="U49" s="37"/>
      <c r="V49" s="37"/>
      <c r="W49" s="37"/>
    </row>
    <row r="50" spans="1:23" ht="5.25" customHeight="1" x14ac:dyDescent="0.35">
      <c r="B50" s="428"/>
      <c r="C50" s="402"/>
      <c r="D50" s="37"/>
      <c r="E50" s="366"/>
      <c r="F50" s="37"/>
      <c r="G50" s="37"/>
      <c r="H50" s="37"/>
      <c r="I50" s="392"/>
      <c r="J50" s="392"/>
      <c r="K50" s="392"/>
      <c r="L50" s="392"/>
      <c r="M50" s="392"/>
      <c r="N50" s="392"/>
      <c r="O50" s="392"/>
      <c r="P50" s="437"/>
      <c r="Q50" s="37"/>
      <c r="R50" s="37"/>
      <c r="S50" s="37"/>
      <c r="T50" s="37"/>
      <c r="U50" s="37"/>
      <c r="V50" s="37"/>
      <c r="W50" s="37"/>
    </row>
    <row r="51" spans="1:23" ht="18.75" customHeight="1" x14ac:dyDescent="0.35">
      <c r="B51" s="430" t="s">
        <v>372</v>
      </c>
      <c r="C51" s="271">
        <f>C52+C56+C62</f>
        <v>898.11599999999999</v>
      </c>
      <c r="D51" s="37"/>
      <c r="E51" s="366"/>
      <c r="F51" s="37"/>
      <c r="G51" s="37"/>
      <c r="H51" s="37"/>
      <c r="I51" s="392"/>
      <c r="J51" s="392"/>
      <c r="K51" s="392"/>
      <c r="L51" s="392"/>
      <c r="M51" s="392"/>
      <c r="N51" s="392"/>
      <c r="O51" s="392"/>
      <c r="P51" s="437"/>
      <c r="Q51" s="37"/>
      <c r="R51" s="37"/>
      <c r="S51" s="37"/>
      <c r="T51" s="37"/>
      <c r="U51" s="37"/>
      <c r="V51" s="37"/>
      <c r="W51" s="37"/>
    </row>
    <row r="52" spans="1:23" ht="16.399999999999999" customHeight="1" x14ac:dyDescent="0.35">
      <c r="B52" s="421" t="s">
        <v>353</v>
      </c>
      <c r="C52" s="271">
        <f>SUM(C53:C55)</f>
        <v>199</v>
      </c>
      <c r="D52" s="37"/>
      <c r="E52" s="366"/>
      <c r="F52" s="37"/>
      <c r="G52" s="37"/>
      <c r="H52" s="37"/>
      <c r="I52" s="392"/>
      <c r="J52" s="392"/>
      <c r="K52" s="392"/>
      <c r="L52" s="392"/>
      <c r="M52" s="392"/>
      <c r="N52" s="392"/>
      <c r="O52" s="392"/>
      <c r="P52" s="437"/>
      <c r="Q52" s="37"/>
      <c r="R52" s="37"/>
      <c r="S52" s="37"/>
      <c r="T52" s="37"/>
      <c r="U52" s="37"/>
      <c r="V52" s="37"/>
      <c r="W52" s="37"/>
    </row>
    <row r="53" spans="1:23" ht="20.9" customHeight="1" x14ac:dyDescent="0.35">
      <c r="B53" s="386" t="s">
        <v>149</v>
      </c>
      <c r="C53" s="271">
        <v>150</v>
      </c>
      <c r="D53" s="37"/>
      <c r="E53" s="366"/>
      <c r="F53" s="37"/>
      <c r="G53" s="37"/>
      <c r="H53" s="37"/>
      <c r="I53" s="392"/>
      <c r="J53" s="392"/>
      <c r="K53" s="392"/>
      <c r="L53" s="392"/>
      <c r="M53" s="392"/>
      <c r="N53" s="392"/>
      <c r="O53" s="392"/>
      <c r="P53" s="437"/>
      <c r="Q53" s="37"/>
      <c r="R53" s="37"/>
      <c r="S53" s="37"/>
      <c r="T53" s="37"/>
      <c r="U53" s="37"/>
      <c r="V53" s="37"/>
      <c r="W53" s="37"/>
    </row>
    <row r="54" spans="1:23" ht="16.5" customHeight="1" x14ac:dyDescent="0.35">
      <c r="B54" s="386" t="s">
        <v>150</v>
      </c>
      <c r="C54" s="431">
        <v>22</v>
      </c>
      <c r="D54" s="241"/>
      <c r="E54" s="366"/>
      <c r="F54" s="37"/>
      <c r="G54" s="37"/>
      <c r="H54" s="37"/>
      <c r="I54" s="392"/>
      <c r="J54" s="392"/>
      <c r="K54" s="392"/>
      <c r="L54" s="392"/>
      <c r="M54" s="392"/>
      <c r="N54" s="392"/>
      <c r="O54" s="392"/>
      <c r="P54" s="437"/>
      <c r="Q54" s="37"/>
      <c r="R54" s="37"/>
      <c r="S54" s="37"/>
      <c r="T54" s="37"/>
      <c r="U54" s="37"/>
      <c r="V54" s="37"/>
      <c r="W54" s="37"/>
    </row>
    <row r="55" spans="1:23" x14ac:dyDescent="0.35">
      <c r="B55" s="386" t="s">
        <v>152</v>
      </c>
      <c r="C55" s="271">
        <v>27</v>
      </c>
      <c r="D55" s="37"/>
      <c r="E55" s="366"/>
      <c r="F55" s="36"/>
      <c r="G55" s="37"/>
      <c r="H55" s="37"/>
      <c r="I55" s="392"/>
      <c r="J55" s="392"/>
      <c r="K55" s="392"/>
      <c r="L55" s="392"/>
      <c r="M55" s="392"/>
      <c r="N55" s="392"/>
      <c r="P55" s="437"/>
      <c r="Q55" s="37"/>
      <c r="R55" s="37"/>
      <c r="S55" s="37"/>
      <c r="T55" s="37"/>
      <c r="U55" s="37"/>
      <c r="V55" s="37"/>
      <c r="W55" s="37"/>
    </row>
    <row r="56" spans="1:23" ht="15" customHeight="1" x14ac:dyDescent="0.35">
      <c r="B56" s="421" t="s">
        <v>355</v>
      </c>
      <c r="C56" s="271">
        <f>SUM(C57:C61)</f>
        <v>150</v>
      </c>
      <c r="D56" s="37"/>
      <c r="E56" s="366"/>
      <c r="F56" s="37"/>
      <c r="G56" s="37"/>
      <c r="H56" s="37"/>
      <c r="I56" s="37"/>
      <c r="J56" s="37"/>
      <c r="K56" s="37"/>
      <c r="L56" s="37"/>
      <c r="M56" s="37"/>
      <c r="N56" s="37"/>
      <c r="P56" s="242"/>
      <c r="Q56" s="37"/>
      <c r="R56" s="37"/>
      <c r="S56" s="37"/>
      <c r="T56" s="37"/>
      <c r="U56" s="37"/>
      <c r="V56" s="37"/>
      <c r="W56" s="37"/>
    </row>
    <row r="57" spans="1:23" ht="17.25" customHeight="1" x14ac:dyDescent="0.35">
      <c r="B57" s="386" t="s">
        <v>342</v>
      </c>
      <c r="C57" s="271">
        <f>'Response and Relief Act Score'!F7</f>
        <v>29</v>
      </c>
      <c r="D57" s="37"/>
      <c r="E57" s="366"/>
      <c r="F57" s="37"/>
      <c r="G57" s="37"/>
      <c r="H57" s="37"/>
      <c r="I57" s="37"/>
    </row>
    <row r="58" spans="1:23" x14ac:dyDescent="0.35">
      <c r="B58" s="386" t="s">
        <v>150</v>
      </c>
      <c r="C58" s="271">
        <f>'Response and Relief Act Score'!F5</f>
        <v>82</v>
      </c>
      <c r="D58" s="37"/>
      <c r="E58" s="366"/>
      <c r="F58" s="37"/>
      <c r="G58" s="37"/>
      <c r="H58" s="37"/>
      <c r="I58" s="37"/>
      <c r="J58" s="37"/>
      <c r="K58" s="37"/>
      <c r="L58" s="37"/>
      <c r="M58" s="37"/>
      <c r="N58" s="37"/>
      <c r="P58" s="242"/>
      <c r="Q58" s="37"/>
      <c r="R58" s="37"/>
      <c r="S58" s="37"/>
      <c r="T58" s="37"/>
      <c r="U58" s="37"/>
      <c r="V58" s="37"/>
      <c r="W58" s="37"/>
    </row>
    <row r="59" spans="1:23" x14ac:dyDescent="0.35">
      <c r="B59" s="386" t="s">
        <v>152</v>
      </c>
      <c r="C59" s="271">
        <f>'Response and Relief Act Score'!F6</f>
        <v>3</v>
      </c>
      <c r="D59" s="37"/>
      <c r="E59" s="366"/>
      <c r="F59" s="37"/>
      <c r="G59" s="37"/>
      <c r="H59" s="37"/>
      <c r="I59" s="37"/>
      <c r="J59" s="37"/>
      <c r="K59" s="37"/>
      <c r="L59" s="37"/>
      <c r="M59" s="37"/>
      <c r="N59" s="37"/>
      <c r="P59" s="242"/>
      <c r="Q59" s="37"/>
      <c r="R59" s="37"/>
      <c r="S59" s="37"/>
      <c r="T59" s="37"/>
      <c r="U59" s="37"/>
      <c r="V59" s="37"/>
      <c r="W59" s="37"/>
    </row>
    <row r="60" spans="1:23" ht="29.25" customHeight="1" x14ac:dyDescent="0.35">
      <c r="B60" s="386" t="s">
        <v>358</v>
      </c>
      <c r="C60" s="271">
        <f>'Response and Relief Act Score'!F9</f>
        <v>34</v>
      </c>
      <c r="D60" s="37"/>
      <c r="E60" s="366"/>
      <c r="F60" s="37"/>
      <c r="G60" s="37"/>
      <c r="H60" s="37"/>
      <c r="I60" s="407"/>
      <c r="J60" s="37"/>
      <c r="K60" s="37"/>
      <c r="L60" s="37"/>
      <c r="M60" s="37"/>
      <c r="N60" s="37"/>
      <c r="O60" s="392"/>
      <c r="P60" s="242"/>
      <c r="Q60" s="37"/>
      <c r="R60" s="37"/>
      <c r="S60" s="37"/>
      <c r="T60" s="37"/>
      <c r="U60" s="37"/>
      <c r="V60" s="37"/>
      <c r="W60" s="37"/>
    </row>
    <row r="61" spans="1:23" ht="12.75" customHeight="1" x14ac:dyDescent="0.35">
      <c r="B61" s="386" t="s">
        <v>359</v>
      </c>
      <c r="C61" s="271">
        <f>'Response and Relief Act Score'!F8</f>
        <v>2</v>
      </c>
      <c r="D61" s="37"/>
      <c r="E61" s="366"/>
      <c r="F61" s="37"/>
      <c r="G61" s="37"/>
      <c r="H61" s="37"/>
      <c r="I61" s="37"/>
      <c r="J61" s="37"/>
      <c r="K61" s="37"/>
      <c r="L61" s="37"/>
      <c r="M61" s="37"/>
      <c r="N61" s="37"/>
      <c r="O61" s="37"/>
      <c r="P61" s="242"/>
      <c r="Q61" s="37"/>
      <c r="R61" s="37"/>
      <c r="S61" s="37"/>
      <c r="T61" s="37"/>
      <c r="U61" s="37"/>
      <c r="V61" s="37"/>
      <c r="W61" s="37"/>
    </row>
    <row r="62" spans="1:23" x14ac:dyDescent="0.35">
      <c r="A62" s="398"/>
      <c r="B62" s="395" t="s">
        <v>360</v>
      </c>
      <c r="C62" s="402">
        <f>SUM(C63:C67)</f>
        <v>549.11599999999999</v>
      </c>
      <c r="D62" s="37"/>
      <c r="E62" s="366"/>
      <c r="F62" s="37"/>
      <c r="G62" s="37"/>
      <c r="H62" s="37"/>
      <c r="I62" s="37"/>
      <c r="J62" s="37"/>
      <c r="K62" s="37"/>
      <c r="L62" s="37"/>
      <c r="M62" s="37"/>
      <c r="N62" s="37"/>
      <c r="P62" s="242"/>
      <c r="Q62" s="37"/>
      <c r="R62" s="37"/>
      <c r="S62" s="37"/>
      <c r="T62" s="37"/>
      <c r="U62" s="37"/>
      <c r="V62" s="37"/>
      <c r="W62" s="37"/>
    </row>
    <row r="63" spans="1:23" ht="16.399999999999999" customHeight="1" x14ac:dyDescent="0.35">
      <c r="A63" s="398"/>
      <c r="B63" s="397" t="s">
        <v>347</v>
      </c>
      <c r="C63" s="402">
        <f>'ARP Score'!AJ16</f>
        <v>362.04999999999995</v>
      </c>
      <c r="D63" s="37"/>
      <c r="E63" s="366"/>
      <c r="F63" s="37"/>
      <c r="G63" s="37"/>
      <c r="H63" s="37"/>
      <c r="I63" s="37"/>
      <c r="J63" s="37"/>
      <c r="K63" s="37"/>
      <c r="L63" s="37"/>
      <c r="M63" s="37"/>
      <c r="N63" s="37"/>
      <c r="O63" s="37"/>
      <c r="P63" s="242"/>
      <c r="Q63" s="37"/>
      <c r="R63" s="37"/>
      <c r="S63" s="37"/>
      <c r="T63" s="37"/>
      <c r="U63" s="37"/>
      <c r="V63" s="37"/>
      <c r="W63" s="37"/>
    </row>
    <row r="64" spans="1:23" ht="15" customHeight="1" x14ac:dyDescent="0.35">
      <c r="A64" s="1371"/>
      <c r="B64" s="397" t="s">
        <v>150</v>
      </c>
      <c r="C64" s="402">
        <f>'ARP Score'!AL16</f>
        <v>169.16899999999998</v>
      </c>
      <c r="D64" s="37"/>
      <c r="E64" s="366"/>
      <c r="F64" s="37"/>
      <c r="G64" s="37"/>
      <c r="H64" s="37"/>
      <c r="I64" s="37"/>
      <c r="J64" s="37"/>
      <c r="K64" s="37"/>
      <c r="L64" s="37"/>
      <c r="M64" s="37"/>
      <c r="N64" s="37"/>
      <c r="O64" s="37"/>
      <c r="P64" s="242"/>
      <c r="Q64" s="400"/>
      <c r="R64" s="37"/>
      <c r="S64" s="37"/>
      <c r="T64" s="37"/>
      <c r="U64" s="37"/>
      <c r="V64" s="37"/>
      <c r="W64" s="37"/>
    </row>
    <row r="65" spans="1:42" x14ac:dyDescent="0.35">
      <c r="A65" s="1371"/>
      <c r="B65" s="397" t="s">
        <v>152</v>
      </c>
      <c r="C65" s="402">
        <f>'ARP Score'!AK16</f>
        <v>8.5</v>
      </c>
      <c r="D65" s="37"/>
      <c r="E65" s="366"/>
      <c r="F65" s="37"/>
      <c r="G65" s="37"/>
      <c r="H65" s="37"/>
      <c r="I65" s="37"/>
      <c r="J65" s="37"/>
      <c r="K65" s="37"/>
      <c r="L65" s="37"/>
      <c r="M65" s="37"/>
      <c r="N65" s="37"/>
      <c r="O65" s="37"/>
      <c r="P65" s="242"/>
      <c r="Q65" s="37"/>
      <c r="R65" s="37"/>
      <c r="S65" s="37"/>
      <c r="T65" s="37"/>
      <c r="U65" s="37"/>
      <c r="V65" s="37"/>
      <c r="W65" s="37"/>
    </row>
    <row r="66" spans="1:42" ht="17.25" customHeight="1" x14ac:dyDescent="0.35">
      <c r="A66" s="398"/>
      <c r="B66" s="397" t="s">
        <v>363</v>
      </c>
      <c r="C66" s="402">
        <f>'ARP Score'!AM16</f>
        <v>0.79700000000000004</v>
      </c>
      <c r="D66" s="37"/>
      <c r="E66" s="366"/>
      <c r="F66" s="37"/>
      <c r="G66" s="37"/>
      <c r="H66" s="37"/>
      <c r="I66" s="37"/>
      <c r="J66" s="37"/>
      <c r="K66" s="37"/>
      <c r="L66" s="37"/>
      <c r="M66" s="37"/>
      <c r="N66" s="37"/>
      <c r="O66" s="37"/>
      <c r="P66" s="242"/>
      <c r="Q66" s="37"/>
      <c r="R66" s="37"/>
      <c r="S66" s="37"/>
      <c r="T66" s="37"/>
      <c r="U66" s="37"/>
      <c r="V66" s="37"/>
      <c r="W66" s="37"/>
    </row>
    <row r="67" spans="1:42" ht="17.25" customHeight="1" x14ac:dyDescent="0.35">
      <c r="A67" s="398"/>
      <c r="B67" s="399" t="s">
        <v>373</v>
      </c>
      <c r="C67" s="403">
        <f>'ARP Score'!AN16</f>
        <v>8.6</v>
      </c>
      <c r="D67" s="401"/>
      <c r="E67" s="389"/>
      <c r="F67" s="37"/>
      <c r="G67" s="37"/>
      <c r="H67" s="37"/>
      <c r="I67" s="37"/>
      <c r="J67" s="37"/>
      <c r="K67" s="37"/>
      <c r="L67" s="37"/>
      <c r="M67" s="37"/>
      <c r="N67" s="37"/>
      <c r="O67" s="37"/>
      <c r="P67" s="242"/>
      <c r="Q67" s="37"/>
      <c r="R67" s="37"/>
      <c r="S67" s="37"/>
      <c r="T67" s="37"/>
      <c r="U67" s="37"/>
      <c r="V67" s="37"/>
      <c r="W67" s="37"/>
    </row>
    <row r="68" spans="1:42" ht="17.25" customHeight="1" x14ac:dyDescent="0.35">
      <c r="B68" s="397"/>
      <c r="C68" s="55"/>
      <c r="D68" s="55"/>
      <c r="E68" s="55"/>
      <c r="F68" s="55"/>
      <c r="G68" s="55"/>
      <c r="H68" s="37"/>
      <c r="I68" s="37"/>
      <c r="J68" s="37"/>
      <c r="K68" s="37"/>
      <c r="L68" s="37"/>
      <c r="M68" s="37"/>
      <c r="N68" s="37"/>
      <c r="O68" s="37"/>
      <c r="P68" s="242"/>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87" t="s">
        <v>374</v>
      </c>
      <c r="C69" s="55"/>
      <c r="D69" s="55"/>
      <c r="E69" s="55"/>
      <c r="F69" s="55"/>
      <c r="G69" s="55"/>
      <c r="H69" s="37"/>
      <c r="I69" s="37"/>
      <c r="J69" s="37"/>
      <c r="K69" s="37"/>
      <c r="L69" s="37"/>
      <c r="M69" s="37"/>
      <c r="N69" s="37"/>
      <c r="O69" s="37"/>
      <c r="P69" s="242"/>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256" t="s">
        <v>375</v>
      </c>
      <c r="C70" s="1257"/>
      <c r="D70" s="1276" t="s">
        <v>279</v>
      </c>
      <c r="E70" s="1277"/>
      <c r="F70" s="1277"/>
      <c r="G70" s="1277"/>
      <c r="H70" s="1277"/>
      <c r="I70" s="1277"/>
      <c r="J70" s="1277"/>
      <c r="K70" s="1277"/>
      <c r="L70" s="1277"/>
      <c r="M70" s="1277"/>
      <c r="N70" s="1277"/>
      <c r="O70" s="1277"/>
      <c r="P70" s="1277"/>
      <c r="Q70" s="1277"/>
      <c r="R70" s="1277"/>
      <c r="S70" s="1277"/>
      <c r="T70" s="1277"/>
      <c r="U70" s="1277"/>
      <c r="V70" s="1277"/>
      <c r="W70" s="1277"/>
      <c r="X70" s="1277"/>
      <c r="Y70" s="1277"/>
      <c r="Z70" s="1277"/>
      <c r="AA70" s="1278"/>
      <c r="AB70" s="1261" t="s">
        <v>280</v>
      </c>
      <c r="AC70" s="1262"/>
      <c r="AD70" s="1262"/>
      <c r="AE70" s="1262"/>
      <c r="AF70" s="1262"/>
      <c r="AG70" s="1262"/>
      <c r="AH70" s="1262"/>
      <c r="AI70" s="1262"/>
      <c r="AJ70" s="1262"/>
      <c r="AK70" s="1262"/>
      <c r="AL70" s="1262"/>
      <c r="AM70" s="1262"/>
      <c r="AN70" s="1263"/>
      <c r="AO70" s="328"/>
      <c r="AP70" s="328"/>
    </row>
    <row r="71" spans="1:42" x14ac:dyDescent="0.35">
      <c r="B71" s="1258"/>
      <c r="C71" s="1350"/>
      <c r="D71" s="293">
        <v>2018</v>
      </c>
      <c r="E71" s="1264">
        <v>2019</v>
      </c>
      <c r="F71" s="1359"/>
      <c r="G71" s="1359"/>
      <c r="H71" s="1266"/>
      <c r="I71" s="1264">
        <v>2020</v>
      </c>
      <c r="J71" s="1359"/>
      <c r="K71" s="1359"/>
      <c r="L71" s="1359"/>
      <c r="M71" s="1264">
        <v>2021</v>
      </c>
      <c r="N71" s="1359"/>
      <c r="O71" s="1359"/>
      <c r="P71" s="1359"/>
      <c r="Q71" s="1360">
        <v>2022</v>
      </c>
      <c r="R71" s="1361"/>
      <c r="S71" s="299"/>
      <c r="T71" s="299"/>
      <c r="U71" s="1264">
        <v>2023</v>
      </c>
      <c r="V71" s="1265"/>
      <c r="W71" s="1265"/>
      <c r="X71" s="1266"/>
      <c r="Y71" s="299"/>
      <c r="Z71" s="439">
        <v>2024</v>
      </c>
      <c r="AA71" s="439"/>
      <c r="AB71" s="332"/>
      <c r="AC71" s="1270">
        <v>2025</v>
      </c>
      <c r="AD71" s="1271"/>
      <c r="AE71" s="1271"/>
      <c r="AF71" s="1272"/>
      <c r="AG71" s="1270">
        <v>2026</v>
      </c>
      <c r="AH71" s="1271"/>
      <c r="AI71" s="1271"/>
      <c r="AJ71" s="1272"/>
      <c r="AK71" s="1270">
        <v>2027</v>
      </c>
      <c r="AL71" s="1271"/>
      <c r="AM71" s="1271"/>
      <c r="AN71" s="1272"/>
      <c r="AO71" s="245"/>
      <c r="AP71" s="245"/>
    </row>
    <row r="72" spans="1:42" x14ac:dyDescent="0.35">
      <c r="B72" s="1274"/>
      <c r="C72" s="1351"/>
      <c r="D72" s="221" t="s">
        <v>281</v>
      </c>
      <c r="E72" s="221" t="s">
        <v>282</v>
      </c>
      <c r="F72" s="222" t="s">
        <v>283</v>
      </c>
      <c r="G72" s="222" t="s">
        <v>238</v>
      </c>
      <c r="H72" s="228" t="s">
        <v>281</v>
      </c>
      <c r="I72" s="222" t="s">
        <v>282</v>
      </c>
      <c r="J72" s="222" t="s">
        <v>283</v>
      </c>
      <c r="K72" s="222" t="s">
        <v>238</v>
      </c>
      <c r="L72" s="222" t="s">
        <v>281</v>
      </c>
      <c r="M72" s="221" t="s">
        <v>282</v>
      </c>
      <c r="N72" s="222" t="s">
        <v>283</v>
      </c>
      <c r="O72" s="222" t="s">
        <v>238</v>
      </c>
      <c r="P72" s="222" t="s">
        <v>281</v>
      </c>
      <c r="Q72" s="221" t="s">
        <v>282</v>
      </c>
      <c r="R72" s="222" t="s">
        <v>283</v>
      </c>
      <c r="S72" s="222" t="s">
        <v>238</v>
      </c>
      <c r="T72" s="222" t="s">
        <v>281</v>
      </c>
      <c r="U72" s="282" t="s">
        <v>282</v>
      </c>
      <c r="V72" s="283" t="s">
        <v>283</v>
      </c>
      <c r="W72" s="283" t="s">
        <v>238</v>
      </c>
      <c r="X72" s="281" t="s">
        <v>281</v>
      </c>
      <c r="Y72" s="283" t="s">
        <v>282</v>
      </c>
      <c r="Z72" s="288" t="s">
        <v>283</v>
      </c>
      <c r="AA72" s="283" t="s">
        <v>238</v>
      </c>
      <c r="AB72" s="269" t="s">
        <v>281</v>
      </c>
      <c r="AC72" s="296" t="s">
        <v>282</v>
      </c>
      <c r="AD72" s="267" t="s">
        <v>283</v>
      </c>
      <c r="AE72" s="269" t="s">
        <v>238</v>
      </c>
      <c r="AF72" s="298" t="s">
        <v>281</v>
      </c>
      <c r="AG72" s="232" t="s">
        <v>282</v>
      </c>
      <c r="AH72" s="267" t="s">
        <v>283</v>
      </c>
      <c r="AI72" s="267" t="s">
        <v>238</v>
      </c>
      <c r="AJ72" s="286" t="s">
        <v>281</v>
      </c>
      <c r="AK72" s="232" t="s">
        <v>282</v>
      </c>
      <c r="AL72" s="267" t="s">
        <v>283</v>
      </c>
      <c r="AM72" s="267" t="s">
        <v>238</v>
      </c>
      <c r="AN72" s="286" t="s">
        <v>281</v>
      </c>
      <c r="AO72" s="56"/>
      <c r="AP72" s="56"/>
    </row>
    <row r="73" spans="1:42" ht="29.25" customHeight="1" x14ac:dyDescent="0.35">
      <c r="B73" s="362" t="s">
        <v>376</v>
      </c>
      <c r="C73" s="422"/>
      <c r="D73" s="363"/>
      <c r="E73" s="364"/>
      <c r="F73" s="364"/>
      <c r="G73" s="364"/>
      <c r="H73" s="365">
        <f t="shared" ref="H73:O73" si="27">SUM(H75:H83)</f>
        <v>208.815</v>
      </c>
      <c r="I73" s="365">
        <f t="shared" si="27"/>
        <v>212.11</v>
      </c>
      <c r="J73" s="365">
        <f t="shared" si="27"/>
        <v>321.19400000000007</v>
      </c>
      <c r="K73" s="365">
        <f t="shared" si="27"/>
        <v>295.41999999999996</v>
      </c>
      <c r="L73" s="365">
        <f t="shared" si="27"/>
        <v>293.01599999999996</v>
      </c>
      <c r="M73" s="365">
        <f t="shared" si="27"/>
        <v>318.27100000000007</v>
      </c>
      <c r="N73" s="365">
        <f t="shared" si="27"/>
        <v>354.85400000000004</v>
      </c>
      <c r="O73" s="365">
        <f t="shared" si="27"/>
        <v>373.11799999999988</v>
      </c>
      <c r="P73" s="436">
        <f>SUM(P75:P84)</f>
        <v>399.43985199999997</v>
      </c>
      <c r="Q73" s="365">
        <f>SUM(Q75:Q84)</f>
        <v>430.7982748</v>
      </c>
      <c r="R73" s="365">
        <f>SUM(R75:R84)</f>
        <v>500.33303199999995</v>
      </c>
      <c r="S73" s="365">
        <f>SUM(S75:S84)</f>
        <v>483.13586799999996</v>
      </c>
      <c r="T73" s="381">
        <f t="shared" ref="T73:AD73" si="28">SUM(T75:T84)</f>
        <v>450.110928</v>
      </c>
      <c r="U73" s="342">
        <f>SUM(U75:U84)</f>
        <v>441.01454320000011</v>
      </c>
      <c r="V73" s="342">
        <f>SUM(V75:V84)</f>
        <v>433.78172000000006</v>
      </c>
      <c r="W73" s="342">
        <f>SUM(W75:W84)</f>
        <v>417.68194400000004</v>
      </c>
      <c r="X73" s="342">
        <f t="shared" si="28"/>
        <v>432.29994399999998</v>
      </c>
      <c r="Y73" s="418">
        <f t="shared" si="28"/>
        <v>434.70694400000002</v>
      </c>
      <c r="Z73" s="418">
        <f t="shared" si="28"/>
        <v>440.59710899999999</v>
      </c>
      <c r="AA73" s="418">
        <f>SUM(AA75:AA84)</f>
        <v>461.9273300000001</v>
      </c>
      <c r="AB73" s="418">
        <f t="shared" si="28"/>
        <v>463.54132570000002</v>
      </c>
      <c r="AC73" s="347">
        <f>SUM(AC75:AC84)</f>
        <v>424.55499699999996</v>
      </c>
      <c r="AD73" s="347">
        <f t="shared" si="28"/>
        <v>420.04109870414106</v>
      </c>
      <c r="AE73" s="347">
        <f t="shared" ref="AE73:AJ73" si="29">SUM(AE75:AE84)</f>
        <v>422.7303328673143</v>
      </c>
      <c r="AF73" s="347">
        <f t="shared" si="29"/>
        <v>421.56036623063881</v>
      </c>
      <c r="AG73" s="347">
        <f t="shared" si="29"/>
        <v>424.42899879999999</v>
      </c>
      <c r="AH73" s="347">
        <f t="shared" si="29"/>
        <v>424.52289717230673</v>
      </c>
      <c r="AI73" s="347">
        <f t="shared" si="29"/>
        <v>428.44833986200683</v>
      </c>
      <c r="AJ73" s="347">
        <f t="shared" si="29"/>
        <v>430.40260812786426</v>
      </c>
      <c r="AK73" s="347">
        <f t="shared" ref="AK73:AN73" si="30">SUM(AK75:AK84)</f>
        <v>433.38598599999989</v>
      </c>
      <c r="AL73" s="347">
        <f t="shared" si="30"/>
        <v>436.39876030719887</v>
      </c>
      <c r="AM73" s="347">
        <f>SUM(AM75:AM84)</f>
        <v>439.44122070448702</v>
      </c>
      <c r="AN73" s="347">
        <f t="shared" si="30"/>
        <v>442.51365970097879</v>
      </c>
      <c r="AO73" s="355"/>
      <c r="AP73" s="355"/>
    </row>
    <row r="74" spans="1:42" ht="19.399999999999999" customHeight="1" x14ac:dyDescent="0.35">
      <c r="B74" s="430" t="s">
        <v>377</v>
      </c>
      <c r="C74" s="241"/>
      <c r="D74" s="271"/>
      <c r="E74" s="241"/>
      <c r="F74" s="241"/>
      <c r="G74" s="241"/>
      <c r="H74" s="342"/>
      <c r="I74" s="342"/>
      <c r="J74" s="342"/>
      <c r="K74" s="342"/>
      <c r="L74" s="342"/>
      <c r="M74" s="342"/>
      <c r="N74" s="342"/>
      <c r="O74" s="342"/>
      <c r="P74" s="237"/>
      <c r="Q74" s="342"/>
      <c r="R74" s="342"/>
      <c r="S74" s="342"/>
      <c r="T74" s="342"/>
      <c r="U74" s="342"/>
      <c r="V74" s="342"/>
      <c r="W74" s="342"/>
      <c r="X74" s="342"/>
      <c r="Y74" s="348"/>
      <c r="Z74" s="348"/>
      <c r="AA74" s="348"/>
      <c r="AB74" s="348"/>
      <c r="AC74" s="348"/>
      <c r="AD74" s="348"/>
      <c r="AE74" s="348"/>
      <c r="AF74" s="348"/>
      <c r="AG74" s="347"/>
      <c r="AH74" s="347"/>
      <c r="AI74" s="347"/>
      <c r="AJ74" s="347"/>
      <c r="AK74" s="347"/>
      <c r="AL74" s="347"/>
      <c r="AM74" s="347"/>
      <c r="AN74" s="347"/>
      <c r="AO74" s="355"/>
      <c r="AP74" s="355"/>
    </row>
    <row r="75" spans="1:42" x14ac:dyDescent="0.35">
      <c r="B75" s="371" t="s">
        <v>152</v>
      </c>
      <c r="C75" s="36"/>
      <c r="D75" s="368"/>
      <c r="E75" s="36"/>
      <c r="F75" s="36"/>
      <c r="G75" s="36"/>
      <c r="H75" s="342"/>
      <c r="I75" s="342"/>
      <c r="J75" s="342">
        <f t="shared" ref="J75:AG75" si="31">J14</f>
        <v>64.400000000000006</v>
      </c>
      <c r="K75" s="342">
        <f t="shared" si="31"/>
        <v>23.4</v>
      </c>
      <c r="L75" s="342">
        <f t="shared" si="31"/>
        <v>13.8</v>
      </c>
      <c r="M75" s="342">
        <f t="shared" si="31"/>
        <v>12</v>
      </c>
      <c r="N75" s="342">
        <f t="shared" si="31"/>
        <v>7.5</v>
      </c>
      <c r="O75" s="342">
        <f t="shared" si="31"/>
        <v>10.5</v>
      </c>
      <c r="P75" s="237">
        <f t="shared" si="31"/>
        <v>18</v>
      </c>
      <c r="Q75" s="342">
        <f t="shared" si="31"/>
        <v>15</v>
      </c>
      <c r="R75" s="342">
        <f t="shared" si="31"/>
        <v>11.2</v>
      </c>
      <c r="S75" s="342">
        <f t="shared" si="31"/>
        <v>7.5</v>
      </c>
      <c r="T75" s="342">
        <f t="shared" si="31"/>
        <v>6.2</v>
      </c>
      <c r="U75" s="342">
        <f t="shared" si="31"/>
        <v>0</v>
      </c>
      <c r="V75" s="342">
        <f t="shared" si="31"/>
        <v>0</v>
      </c>
      <c r="W75" s="342">
        <f t="shared" si="31"/>
        <v>0</v>
      </c>
      <c r="X75" s="342">
        <f t="shared" si="31"/>
        <v>0</v>
      </c>
      <c r="Y75" s="348">
        <f t="shared" si="31"/>
        <v>0</v>
      </c>
      <c r="Z75" s="348">
        <f t="shared" si="31"/>
        <v>0</v>
      </c>
      <c r="AA75" s="348">
        <f t="shared" si="31"/>
        <v>0</v>
      </c>
      <c r="AB75" s="348">
        <f t="shared" si="31"/>
        <v>0</v>
      </c>
      <c r="AC75" s="348">
        <f t="shared" si="31"/>
        <v>0</v>
      </c>
      <c r="AD75" s="348">
        <f t="shared" si="31"/>
        <v>0</v>
      </c>
      <c r="AE75" s="348">
        <f t="shared" si="31"/>
        <v>0</v>
      </c>
      <c r="AF75" s="348">
        <f t="shared" si="31"/>
        <v>0</v>
      </c>
      <c r="AG75" s="347">
        <f t="shared" si="31"/>
        <v>0</v>
      </c>
      <c r="AH75" s="347">
        <f t="shared" ref="AH75:AI75" si="32">AH14</f>
        <v>0</v>
      </c>
      <c r="AI75" s="347">
        <f t="shared" si="32"/>
        <v>0</v>
      </c>
      <c r="AJ75" s="347">
        <f t="shared" ref="AJ75:AN75" si="33">AJ14</f>
        <v>0</v>
      </c>
      <c r="AK75" s="347">
        <f>AK14</f>
        <v>0</v>
      </c>
      <c r="AL75" s="347">
        <f t="shared" si="33"/>
        <v>0</v>
      </c>
      <c r="AM75" s="347">
        <f t="shared" si="33"/>
        <v>0</v>
      </c>
      <c r="AN75" s="347">
        <f t="shared" si="33"/>
        <v>0</v>
      </c>
      <c r="AO75" s="342"/>
      <c r="AP75" s="342"/>
    </row>
    <row r="76" spans="1:42" x14ac:dyDescent="0.35">
      <c r="B76" s="371" t="s">
        <v>342</v>
      </c>
      <c r="C76" s="36"/>
      <c r="D76" s="368"/>
      <c r="E76" s="36"/>
      <c r="F76" s="36"/>
      <c r="G76" s="36"/>
      <c r="H76" s="342"/>
      <c r="I76" s="342"/>
      <c r="J76" s="342"/>
      <c r="K76" s="342"/>
      <c r="L76" s="342"/>
      <c r="M76" s="342">
        <f>M28</f>
        <v>9.6666666666666661</v>
      </c>
      <c r="N76" s="342">
        <f t="shared" ref="N76:AC76" si="34">N28</f>
        <v>9.6666666666666661</v>
      </c>
      <c r="O76" s="342">
        <f t="shared" si="34"/>
        <v>9.6666666666666661</v>
      </c>
      <c r="P76" s="237">
        <f t="shared" si="34"/>
        <v>9.6666666666666661</v>
      </c>
      <c r="Q76" s="342">
        <f>Q28</f>
        <v>9.6666666666666661</v>
      </c>
      <c r="R76" s="342">
        <f>R28</f>
        <v>9.6666666666666661</v>
      </c>
      <c r="S76" s="342">
        <f>S28</f>
        <v>9.6666666666666661</v>
      </c>
      <c r="T76" s="342">
        <f t="shared" si="34"/>
        <v>9.6666666666666661</v>
      </c>
      <c r="U76" s="342">
        <f t="shared" si="34"/>
        <v>9.6666666666666661</v>
      </c>
      <c r="V76" s="342">
        <f t="shared" si="34"/>
        <v>9.6666666666666661</v>
      </c>
      <c r="W76" s="342">
        <f t="shared" si="34"/>
        <v>9.6666666666666661</v>
      </c>
      <c r="X76" s="342">
        <f t="shared" si="34"/>
        <v>9.6666666666666661</v>
      </c>
      <c r="Y76" s="348">
        <f t="shared" si="34"/>
        <v>0</v>
      </c>
      <c r="Z76" s="348">
        <f t="shared" si="34"/>
        <v>0</v>
      </c>
      <c r="AA76" s="348">
        <f t="shared" si="34"/>
        <v>0</v>
      </c>
      <c r="AB76" s="348">
        <f t="shared" si="34"/>
        <v>0</v>
      </c>
      <c r="AC76" s="348">
        <f t="shared" si="34"/>
        <v>0</v>
      </c>
      <c r="AD76" s="348">
        <f t="shared" ref="AD76:AG76" si="35">AD28</f>
        <v>0</v>
      </c>
      <c r="AE76" s="348">
        <f t="shared" si="35"/>
        <v>0</v>
      </c>
      <c r="AF76" s="348">
        <f t="shared" si="35"/>
        <v>0</v>
      </c>
      <c r="AG76" s="347">
        <f t="shared" si="35"/>
        <v>0</v>
      </c>
      <c r="AH76" s="347">
        <f t="shared" ref="AH76:AI76" si="36">AH28</f>
        <v>0</v>
      </c>
      <c r="AI76" s="347">
        <f t="shared" si="36"/>
        <v>0</v>
      </c>
      <c r="AJ76" s="347">
        <f t="shared" ref="AJ76:AN76" si="37">AJ28</f>
        <v>0</v>
      </c>
      <c r="AK76" s="347">
        <f t="shared" si="37"/>
        <v>0</v>
      </c>
      <c r="AL76" s="347">
        <f t="shared" si="37"/>
        <v>0</v>
      </c>
      <c r="AM76" s="347">
        <f t="shared" si="37"/>
        <v>0</v>
      </c>
      <c r="AN76" s="347">
        <f t="shared" si="37"/>
        <v>0</v>
      </c>
      <c r="AO76" s="342"/>
      <c r="AP76" s="342"/>
    </row>
    <row r="77" spans="1:42" x14ac:dyDescent="0.35">
      <c r="B77" s="371" t="s">
        <v>378</v>
      </c>
      <c r="C77" s="36"/>
      <c r="D77" s="368"/>
      <c r="E77" s="36"/>
      <c r="F77" s="36"/>
      <c r="G77" s="36"/>
      <c r="H77" s="342"/>
      <c r="I77" s="342"/>
      <c r="J77" s="342"/>
      <c r="K77" s="342"/>
      <c r="L77" s="342"/>
      <c r="M77" s="342">
        <f t="shared" ref="M77:AG77" si="38">M16</f>
        <v>12</v>
      </c>
      <c r="N77" s="342">
        <f t="shared" si="38"/>
        <v>12</v>
      </c>
      <c r="O77" s="342">
        <f t="shared" si="38"/>
        <v>12</v>
      </c>
      <c r="P77" s="237">
        <f t="shared" si="38"/>
        <v>12</v>
      </c>
      <c r="Q77" s="342">
        <f t="shared" si="38"/>
        <v>12</v>
      </c>
      <c r="R77" s="342">
        <f t="shared" si="38"/>
        <v>12</v>
      </c>
      <c r="S77" s="342">
        <f t="shared" si="38"/>
        <v>12</v>
      </c>
      <c r="T77" s="342">
        <f t="shared" si="38"/>
        <v>12</v>
      </c>
      <c r="U77" s="342">
        <f t="shared" si="38"/>
        <v>12</v>
      </c>
      <c r="V77" s="342">
        <f t="shared" si="38"/>
        <v>12</v>
      </c>
      <c r="W77" s="342">
        <f t="shared" si="38"/>
        <v>12</v>
      </c>
      <c r="X77" s="342">
        <f t="shared" si="38"/>
        <v>12</v>
      </c>
      <c r="Y77" s="348">
        <f t="shared" si="38"/>
        <v>0</v>
      </c>
      <c r="Z77" s="348">
        <f t="shared" si="38"/>
        <v>0</v>
      </c>
      <c r="AA77" s="348">
        <f t="shared" si="38"/>
        <v>0</v>
      </c>
      <c r="AB77" s="348">
        <f t="shared" si="38"/>
        <v>0</v>
      </c>
      <c r="AC77" s="348">
        <f t="shared" si="38"/>
        <v>0</v>
      </c>
      <c r="AD77" s="348">
        <f t="shared" si="38"/>
        <v>0</v>
      </c>
      <c r="AE77" s="348">
        <f t="shared" si="38"/>
        <v>0</v>
      </c>
      <c r="AF77" s="348">
        <f t="shared" si="38"/>
        <v>0</v>
      </c>
      <c r="AG77" s="347">
        <f t="shared" si="38"/>
        <v>0</v>
      </c>
      <c r="AH77" s="347">
        <f t="shared" ref="AH77:AI77" si="39">AH16</f>
        <v>0</v>
      </c>
      <c r="AI77" s="347">
        <f t="shared" si="39"/>
        <v>0</v>
      </c>
      <c r="AJ77" s="347">
        <f t="shared" ref="AJ77:AN77" si="40">AJ16</f>
        <v>0</v>
      </c>
      <c r="AK77" s="347">
        <f t="shared" si="40"/>
        <v>0</v>
      </c>
      <c r="AL77" s="347">
        <f t="shared" si="40"/>
        <v>0</v>
      </c>
      <c r="AM77" s="347">
        <f t="shared" si="40"/>
        <v>0</v>
      </c>
      <c r="AN77" s="347">
        <f t="shared" si="40"/>
        <v>0</v>
      </c>
      <c r="AO77" s="342"/>
      <c r="AP77" s="342"/>
    </row>
    <row r="78" spans="1:42" x14ac:dyDescent="0.35">
      <c r="B78" s="371" t="s">
        <v>379</v>
      </c>
      <c r="C78" s="36"/>
      <c r="D78" s="368"/>
      <c r="E78" s="36"/>
      <c r="F78" s="36"/>
      <c r="G78" s="36"/>
      <c r="H78" s="39">
        <f t="shared" ref="H78:AH78" si="41">H20</f>
        <v>208.815</v>
      </c>
      <c r="I78" s="39">
        <f t="shared" si="41"/>
        <v>212.11</v>
      </c>
      <c r="J78" s="39">
        <f t="shared" si="41"/>
        <v>193.39400000000012</v>
      </c>
      <c r="K78" s="39">
        <f t="shared" si="41"/>
        <v>211.21999999999997</v>
      </c>
      <c r="L78" s="39">
        <f t="shared" si="41"/>
        <v>219.01599999999996</v>
      </c>
      <c r="M78" s="39">
        <f t="shared" si="41"/>
        <v>215.70433333333341</v>
      </c>
      <c r="N78" s="39">
        <f t="shared" si="41"/>
        <v>218.08733333333339</v>
      </c>
      <c r="O78" s="39">
        <f t="shared" si="41"/>
        <v>220.25133333333321</v>
      </c>
      <c r="P78" s="340">
        <f t="shared" si="41"/>
        <v>247.95233333333329</v>
      </c>
      <c r="Q78" s="39">
        <f t="shared" si="41"/>
        <v>245.7353333333333</v>
      </c>
      <c r="R78" s="39">
        <f t="shared" si="41"/>
        <v>262.2163333333333</v>
      </c>
      <c r="S78" s="39">
        <f t="shared" si="41"/>
        <v>256.37333333333328</v>
      </c>
      <c r="T78" s="39">
        <f t="shared" si="41"/>
        <v>227.63733333333334</v>
      </c>
      <c r="U78" s="360">
        <f t="shared" si="41"/>
        <v>238.22800000000012</v>
      </c>
      <c r="V78" s="39">
        <f t="shared" si="41"/>
        <v>232.20100000000008</v>
      </c>
      <c r="W78" s="39">
        <f t="shared" si="41"/>
        <v>222.80400000000003</v>
      </c>
      <c r="X78" s="39">
        <f t="shared" si="41"/>
        <v>247.81200000000001</v>
      </c>
      <c r="Y78" s="349">
        <f t="shared" si="41"/>
        <v>265.71900000000005</v>
      </c>
      <c r="Z78" s="349">
        <f t="shared" si="41"/>
        <v>283.38900000000001</v>
      </c>
      <c r="AA78" s="349">
        <f>AA20</f>
        <v>302.80900000000008</v>
      </c>
      <c r="AB78" s="349">
        <f t="shared" si="41"/>
        <v>302.24700000000007</v>
      </c>
      <c r="AC78" s="349">
        <f t="shared" si="41"/>
        <v>282.69200000000001</v>
      </c>
      <c r="AD78" s="349">
        <f t="shared" si="41"/>
        <v>285.4774792041411</v>
      </c>
      <c r="AE78" s="349">
        <f t="shared" si="41"/>
        <v>288.29040486731429</v>
      </c>
      <c r="AF78" s="349">
        <f t="shared" si="41"/>
        <v>291.13104743063877</v>
      </c>
      <c r="AG78" s="333">
        <f t="shared" si="41"/>
        <v>293.99967999999996</v>
      </c>
      <c r="AH78" s="333">
        <f t="shared" si="41"/>
        <v>296.89657837230669</v>
      </c>
      <c r="AI78" s="333">
        <f t="shared" ref="AI78:AJ78" si="42">AI20</f>
        <v>299.8220210620068</v>
      </c>
      <c r="AJ78" s="333">
        <f t="shared" si="42"/>
        <v>302.77628932786422</v>
      </c>
      <c r="AK78" s="333">
        <f t="shared" ref="AK78:AN78" si="43">AK20</f>
        <v>305.75966719999985</v>
      </c>
      <c r="AL78" s="333">
        <f t="shared" si="43"/>
        <v>308.77244150719883</v>
      </c>
      <c r="AM78" s="333">
        <f t="shared" si="43"/>
        <v>311.81490190448699</v>
      </c>
      <c r="AN78" s="333">
        <f t="shared" si="43"/>
        <v>314.88734090097876</v>
      </c>
      <c r="AO78" s="39"/>
      <c r="AP78" s="39"/>
    </row>
    <row r="79" spans="1:42" x14ac:dyDescent="0.35">
      <c r="B79" s="371" t="s">
        <v>1179</v>
      </c>
      <c r="C79" s="36"/>
      <c r="D79" s="368"/>
      <c r="E79" s="36"/>
      <c r="F79" s="36"/>
      <c r="G79" s="36"/>
      <c r="H79" s="39"/>
      <c r="I79" s="39"/>
      <c r="J79" s="39"/>
      <c r="K79" s="39"/>
      <c r="L79" s="39"/>
      <c r="M79" s="39"/>
      <c r="N79" s="39"/>
      <c r="O79" s="39"/>
      <c r="P79" s="340"/>
      <c r="Q79" s="39"/>
      <c r="R79" s="39"/>
      <c r="S79" s="344">
        <f>'IRA and CHIPS'!E184</f>
        <v>0</v>
      </c>
      <c r="T79" s="344">
        <f>'IRA and CHIPS'!F184</f>
        <v>6.8000000000000005E-2</v>
      </c>
      <c r="U79" s="344">
        <f>'IRA and CHIPS'!G184</f>
        <v>6.8000000000000005E-2</v>
      </c>
      <c r="V79" s="344">
        <f>'IRA and CHIPS'!H184</f>
        <v>6.8000000000000005E-2</v>
      </c>
      <c r="W79" s="344">
        <f>'IRA and CHIPS'!I184</f>
        <v>6.8000000000000005E-2</v>
      </c>
      <c r="X79" s="344">
        <f>'IRA and CHIPS'!J184</f>
        <v>1.363</v>
      </c>
      <c r="Y79" s="357">
        <f>'IRA and CHIPS'!K184</f>
        <v>1.363</v>
      </c>
      <c r="Z79" s="357">
        <f>'IRA and CHIPS'!L184</f>
        <v>1.363</v>
      </c>
      <c r="AA79" s="357">
        <f>'IRA and CHIPS'!M184</f>
        <v>1.363</v>
      </c>
      <c r="AB79" s="357">
        <f>'IRA and CHIPS'!N184</f>
        <v>2.4329999999999998</v>
      </c>
      <c r="AC79" s="357">
        <f>'IRA and CHIPS'!O184</f>
        <v>2.4329999999999998</v>
      </c>
      <c r="AD79" s="357">
        <f>'IRA and CHIPS'!P184</f>
        <v>2.4329999999999998</v>
      </c>
      <c r="AE79" s="357">
        <f>'IRA and CHIPS'!Q184</f>
        <v>2.4329999999999998</v>
      </c>
      <c r="AF79" s="357">
        <f>'IRA and CHIPS'!R184</f>
        <v>2.8029999999999999</v>
      </c>
      <c r="AG79" s="357">
        <f>'IRA and CHIPS'!S184</f>
        <v>2.8029999999999999</v>
      </c>
      <c r="AH79" s="357"/>
      <c r="AI79" s="357">
        <f>'IRA and CHIPS'!U184</f>
        <v>0</v>
      </c>
      <c r="AJ79" s="357"/>
      <c r="AK79" s="357"/>
      <c r="AL79" s="357"/>
      <c r="AM79" s="357"/>
      <c r="AN79" s="357"/>
      <c r="AO79" s="39"/>
      <c r="AP79" s="39"/>
    </row>
    <row r="80" spans="1:42" ht="14.9" customHeight="1" x14ac:dyDescent="0.35">
      <c r="B80" s="410" t="s">
        <v>380</v>
      </c>
      <c r="C80" s="36"/>
      <c r="D80" s="368"/>
      <c r="E80" s="36"/>
      <c r="F80" s="36"/>
      <c r="G80" s="36"/>
      <c r="H80" s="342"/>
      <c r="I80" s="342"/>
      <c r="J80" s="342"/>
      <c r="K80" s="342"/>
      <c r="L80" s="342"/>
      <c r="M80" s="342"/>
      <c r="N80" s="342"/>
      <c r="O80" s="342"/>
      <c r="P80" s="237"/>
      <c r="Q80" s="342"/>
      <c r="R80" s="342"/>
      <c r="S80" s="342"/>
      <c r="T80" s="342"/>
      <c r="U80" s="342"/>
      <c r="V80" s="342"/>
      <c r="W80" s="342"/>
      <c r="X80" s="342"/>
      <c r="Y80" s="348"/>
      <c r="Z80" s="348"/>
      <c r="AA80" s="348"/>
      <c r="AB80" s="348"/>
      <c r="AC80" s="348"/>
      <c r="AD80" s="348"/>
      <c r="AE80" s="348"/>
      <c r="AF80" s="348"/>
      <c r="AG80" s="347"/>
      <c r="AH80" s="347"/>
      <c r="AI80" s="347"/>
      <c r="AJ80" s="347"/>
      <c r="AK80" s="347"/>
      <c r="AL80" s="347"/>
      <c r="AM80" s="347"/>
      <c r="AN80" s="347"/>
      <c r="AO80" s="342"/>
      <c r="AP80" s="342"/>
    </row>
    <row r="81" spans="2:42" ht="14.9" customHeight="1" x14ac:dyDescent="0.35">
      <c r="B81" s="371" t="s">
        <v>150</v>
      </c>
      <c r="C81" s="36"/>
      <c r="D81" s="368"/>
      <c r="E81" s="36"/>
      <c r="F81" s="36"/>
      <c r="G81" s="36"/>
      <c r="H81" s="342"/>
      <c r="I81" s="342"/>
      <c r="J81" s="342">
        <f t="shared" ref="J81:Y81" si="44">J13</f>
        <v>28.4</v>
      </c>
      <c r="K81" s="342">
        <f t="shared" si="44"/>
        <v>15.8</v>
      </c>
      <c r="L81" s="342">
        <f t="shared" si="44"/>
        <v>15.2</v>
      </c>
      <c r="M81" s="342">
        <f t="shared" si="44"/>
        <v>28.9</v>
      </c>
      <c r="N81" s="342">
        <f t="shared" si="44"/>
        <v>67.599999999999994</v>
      </c>
      <c r="O81" s="342">
        <f t="shared" si="44"/>
        <v>80.7</v>
      </c>
      <c r="P81" s="237">
        <f t="shared" si="44"/>
        <v>87.2</v>
      </c>
      <c r="Q81" s="342">
        <f t="shared" si="44"/>
        <v>72.400000000000006</v>
      </c>
      <c r="R81" s="342">
        <f t="shared" si="44"/>
        <v>85.9</v>
      </c>
      <c r="S81" s="342">
        <f t="shared" si="44"/>
        <v>68.3</v>
      </c>
      <c r="T81" s="342">
        <f t="shared" si="44"/>
        <v>64</v>
      </c>
      <c r="U81" s="342">
        <f t="shared" si="44"/>
        <v>60.929333333333297</v>
      </c>
      <c r="V81" s="342">
        <f t="shared" si="44"/>
        <v>60.929333333333297</v>
      </c>
      <c r="W81" s="342">
        <f t="shared" si="44"/>
        <v>60.929333333333297</v>
      </c>
      <c r="X81" s="342">
        <f t="shared" si="44"/>
        <v>54.244333333333302</v>
      </c>
      <c r="Y81" s="347">
        <f t="shared" si="44"/>
        <v>50.911000000000001</v>
      </c>
      <c r="Z81" s="348">
        <f>Z25+Z29+'ARP Quarterly'!P28</f>
        <v>44.428388999999996</v>
      </c>
      <c r="AA81" s="348">
        <f>AA25+AA29+'ARP Quarterly'!Q28</f>
        <v>46.338610000000003</v>
      </c>
      <c r="AB81" s="348">
        <f>AB25+AB29+'ARP Quarterly'!R28</f>
        <v>47.279744500000007</v>
      </c>
      <c r="AC81" s="348">
        <f>AC25+AC29+'ARP Quarterly'!S28</f>
        <v>46.283419000000009</v>
      </c>
      <c r="AD81" s="348">
        <f>AD25+AD29+'ARP Quarterly'!T28</f>
        <v>45.578489500000011</v>
      </c>
      <c r="AE81" s="348">
        <f>AE25+AE29+'ARP Quarterly'!U28</f>
        <v>45.454798000000011</v>
      </c>
      <c r="AF81" s="348">
        <f>AF25+AF29+'ARP Quarterly'!V28</f>
        <v>45.360580000000013</v>
      </c>
      <c r="AG81" s="347">
        <f>AF81</f>
        <v>45.360580000000013</v>
      </c>
      <c r="AH81" s="347">
        <f>AG81</f>
        <v>45.360580000000013</v>
      </c>
      <c r="AI81" s="347">
        <f>AH81</f>
        <v>45.360580000000013</v>
      </c>
      <c r="AJ81" s="347">
        <f>AI81</f>
        <v>45.360580000000013</v>
      </c>
      <c r="AK81" s="347">
        <f t="shared" ref="AK81:AN81" si="45">AJ81</f>
        <v>45.360580000000013</v>
      </c>
      <c r="AL81" s="347">
        <f t="shared" si="45"/>
        <v>45.360580000000013</v>
      </c>
      <c r="AM81" s="347">
        <f t="shared" si="45"/>
        <v>45.360580000000013</v>
      </c>
      <c r="AN81" s="347">
        <f t="shared" si="45"/>
        <v>45.360580000000013</v>
      </c>
      <c r="AO81" s="356"/>
      <c r="AP81" s="342"/>
    </row>
    <row r="82" spans="2:42" x14ac:dyDescent="0.35">
      <c r="B82" s="371" t="s">
        <v>149</v>
      </c>
      <c r="C82" s="39"/>
      <c r="D82" s="433"/>
      <c r="E82" s="39"/>
      <c r="F82" s="39"/>
      <c r="G82" s="39"/>
      <c r="H82" s="342"/>
      <c r="I82" s="342"/>
      <c r="J82" s="342">
        <v>35</v>
      </c>
      <c r="K82" s="342">
        <v>45</v>
      </c>
      <c r="L82" s="342">
        <v>45</v>
      </c>
      <c r="M82" s="342">
        <v>40</v>
      </c>
      <c r="N82" s="342">
        <v>40</v>
      </c>
      <c r="O82" s="342">
        <v>40</v>
      </c>
      <c r="P82" s="237">
        <v>40</v>
      </c>
      <c r="Q82" s="342">
        <v>50</v>
      </c>
      <c r="R82" s="342">
        <v>50</v>
      </c>
      <c r="S82" s="342">
        <v>50</v>
      </c>
      <c r="T82" s="342">
        <v>50</v>
      </c>
      <c r="U82" s="361">
        <v>40</v>
      </c>
      <c r="V82" s="342">
        <v>30</v>
      </c>
      <c r="W82" s="342">
        <v>20</v>
      </c>
      <c r="X82" s="342">
        <v>15</v>
      </c>
      <c r="Y82" s="348">
        <v>10</v>
      </c>
      <c r="Z82" s="348">
        <v>0</v>
      </c>
      <c r="AA82" s="348">
        <v>0</v>
      </c>
      <c r="AB82" s="348">
        <v>0</v>
      </c>
      <c r="AC82" s="348">
        <v>0</v>
      </c>
      <c r="AD82" s="348">
        <v>0</v>
      </c>
      <c r="AE82" s="348">
        <v>0</v>
      </c>
      <c r="AF82" s="348">
        <v>0</v>
      </c>
      <c r="AG82" s="347">
        <v>0</v>
      </c>
      <c r="AH82" s="347"/>
      <c r="AI82" s="347">
        <v>1</v>
      </c>
      <c r="AJ82" s="347"/>
      <c r="AK82" s="347"/>
      <c r="AL82" s="347"/>
      <c r="AM82" s="347"/>
      <c r="AN82" s="347"/>
      <c r="AO82" s="336"/>
    </row>
    <row r="83" spans="2:42" ht="28.5" customHeight="1" x14ac:dyDescent="0.35">
      <c r="B83" s="384" t="s">
        <v>381</v>
      </c>
      <c r="C83" s="396"/>
      <c r="D83" s="368"/>
      <c r="E83" s="36"/>
      <c r="F83" s="36"/>
      <c r="G83" s="36"/>
      <c r="H83" s="342"/>
      <c r="I83" s="342"/>
      <c r="J83" s="342"/>
      <c r="K83" s="342"/>
      <c r="L83" s="342"/>
      <c r="M83" s="342"/>
      <c r="N83" s="342">
        <f>'ARP Quarterly'!D47</f>
        <v>0</v>
      </c>
      <c r="O83" s="342">
        <f>'ARP Quarterly'!E47</f>
        <v>0</v>
      </c>
      <c r="P83" s="237">
        <f>'ARP Quarterly'!F47</f>
        <v>34.620851999999999</v>
      </c>
      <c r="Q83" s="342">
        <f>'ARP Quarterly'!G47</f>
        <v>50.996274799999995</v>
      </c>
      <c r="R83" s="342">
        <f>'ARP Quarterly'!H47</f>
        <v>69.350031999999999</v>
      </c>
      <c r="S83" s="342">
        <f>'ARP Quarterly'!I47</f>
        <v>79.295867999999999</v>
      </c>
      <c r="T83" s="342">
        <f>'ARP Quarterly'!J47</f>
        <v>80.538927999999999</v>
      </c>
      <c r="U83" s="342">
        <f>'ARP Quarterly'!K47</f>
        <v>80.122543199999996</v>
      </c>
      <c r="V83" s="342">
        <f>'ARP Quarterly'!L47</f>
        <v>88.916719999999998</v>
      </c>
      <c r="W83" s="343">
        <f>'ARP Quarterly'!M47</f>
        <v>92.213943999999998</v>
      </c>
      <c r="X83" s="343">
        <f>'ARP Quarterly'!N47</f>
        <v>92.213943999999998</v>
      </c>
      <c r="Y83" s="420">
        <f>'ARP Quarterly'!O47</f>
        <v>94.213943999999998</v>
      </c>
      <c r="Z83" s="420">
        <f>'ARP Quarterly'!P47</f>
        <v>98.916719999999998</v>
      </c>
      <c r="AA83" s="420">
        <f>'ARP Quarterly'!Q47</f>
        <v>98.916719999999998</v>
      </c>
      <c r="AB83" s="420">
        <f>'ARP Quarterly'!R47</f>
        <v>99.081581199999988</v>
      </c>
      <c r="AC83" s="420">
        <f>'ARP Quarterly'!S47</f>
        <v>93.146578000000005</v>
      </c>
      <c r="AD83" s="420">
        <f>'ARP Quarterly'!T47</f>
        <v>86.552129999999991</v>
      </c>
      <c r="AE83" s="420">
        <f>'ARP Quarterly'!U47</f>
        <v>86.552129999999991</v>
      </c>
      <c r="AF83" s="420">
        <f>'ARP Quarterly'!V47</f>
        <v>82.265738799999994</v>
      </c>
      <c r="AG83" s="405">
        <f>AF83</f>
        <v>82.265738799999994</v>
      </c>
      <c r="AH83" s="405">
        <f>AG83</f>
        <v>82.265738799999994</v>
      </c>
      <c r="AI83" s="405">
        <f>AH83</f>
        <v>82.265738799999994</v>
      </c>
      <c r="AJ83" s="405">
        <f>AI83</f>
        <v>82.265738799999994</v>
      </c>
      <c r="AK83" s="405">
        <f t="shared" ref="AK83:AN83" si="46">AJ83</f>
        <v>82.265738799999994</v>
      </c>
      <c r="AL83" s="405">
        <f t="shared" si="46"/>
        <v>82.265738799999994</v>
      </c>
      <c r="AM83" s="405">
        <f t="shared" si="46"/>
        <v>82.265738799999994</v>
      </c>
      <c r="AN83" s="405">
        <f t="shared" si="46"/>
        <v>82.265738799999994</v>
      </c>
      <c r="AO83" s="409"/>
    </row>
    <row r="84" spans="2:42" ht="55.4" customHeight="1" x14ac:dyDescent="0.35">
      <c r="B84" s="390" t="s">
        <v>827</v>
      </c>
      <c r="C84" s="391"/>
      <c r="D84" s="440"/>
      <c r="E84" s="391"/>
      <c r="F84" s="391"/>
      <c r="G84" s="391"/>
      <c r="H84" s="391"/>
      <c r="I84" s="391"/>
      <c r="J84" s="391"/>
      <c r="K84" s="391"/>
      <c r="L84" s="391"/>
      <c r="M84" s="391"/>
      <c r="N84" s="391"/>
      <c r="O84" s="391"/>
      <c r="P84" s="391">
        <v>-50</v>
      </c>
      <c r="Q84" s="391">
        <v>-25</v>
      </c>
      <c r="R84" s="391"/>
      <c r="S84" s="391"/>
      <c r="T84" s="391"/>
      <c r="U84" s="434"/>
      <c r="V84" s="367"/>
      <c r="W84" s="391"/>
      <c r="X84" s="391"/>
      <c r="Y84" s="391">
        <v>12.5</v>
      </c>
      <c r="Z84" s="391">
        <v>12.5</v>
      </c>
      <c r="AA84" s="391">
        <v>12.5</v>
      </c>
      <c r="AB84" s="367">
        <v>12.5</v>
      </c>
      <c r="AC84" s="434"/>
      <c r="AD84" s="245"/>
      <c r="AE84" s="245"/>
      <c r="AF84" s="245"/>
      <c r="AG84" s="245"/>
      <c r="AH84" s="245"/>
      <c r="AI84" s="245"/>
      <c r="AJ84" s="245"/>
      <c r="AK84" s="245"/>
      <c r="AL84" s="245"/>
      <c r="AM84" s="245"/>
      <c r="AN84" s="245"/>
    </row>
    <row r="85" spans="2:42" x14ac:dyDescent="0.35">
      <c r="B85" s="280"/>
      <c r="C85" s="245"/>
      <c r="D85" s="245"/>
      <c r="E85" s="245"/>
      <c r="F85" s="245"/>
      <c r="G85" s="245"/>
      <c r="H85" s="245"/>
      <c r="I85" s="245"/>
      <c r="J85" s="245"/>
      <c r="K85" s="245"/>
      <c r="L85" s="245"/>
      <c r="M85" s="245"/>
      <c r="Z85" s="245"/>
      <c r="AA85" s="245"/>
      <c r="AB85" s="245"/>
      <c r="AC85" s="245"/>
      <c r="AD85" s="245"/>
      <c r="AE85" s="245"/>
      <c r="AF85" s="245"/>
      <c r="AG85" s="245"/>
      <c r="AH85" s="245"/>
      <c r="AI85" s="245"/>
      <c r="AJ85" s="245"/>
      <c r="AK85" s="245"/>
      <c r="AL85" s="245"/>
      <c r="AM85" s="245"/>
      <c r="AN85" s="245"/>
    </row>
    <row r="86" spans="2:42" x14ac:dyDescent="0.35">
      <c r="B86" s="280"/>
      <c r="C86" s="245"/>
      <c r="D86" s="245"/>
      <c r="E86" s="245"/>
      <c r="F86" s="245"/>
      <c r="G86" s="245"/>
      <c r="H86" s="245"/>
      <c r="I86" s="245"/>
      <c r="J86" s="245"/>
      <c r="K86" s="245"/>
      <c r="L86" s="245"/>
      <c r="M86" s="245"/>
      <c r="N86" s="245"/>
      <c r="O86" s="245"/>
      <c r="P86" s="245"/>
      <c r="Q86" s="245"/>
      <c r="R86" s="245"/>
      <c r="S86" s="245"/>
      <c r="T86" s="245"/>
      <c r="U86" s="245"/>
      <c r="V86" s="245"/>
      <c r="W86" s="245"/>
      <c r="X86" s="245"/>
      <c r="Y86" s="245"/>
      <c r="Z86" s="245"/>
      <c r="AA86" s="245"/>
      <c r="AB86" s="245"/>
      <c r="AC86" s="245"/>
      <c r="AD86" s="245"/>
      <c r="AE86" s="245"/>
      <c r="AF86" s="245"/>
      <c r="AG86" s="245"/>
      <c r="AH86" s="245"/>
      <c r="AI86" s="245"/>
      <c r="AJ86" s="245"/>
      <c r="AK86" s="245"/>
      <c r="AL86" s="245"/>
      <c r="AM86" s="245"/>
      <c r="AN86" s="245"/>
    </row>
    <row r="87" spans="2:42" ht="14.5" customHeight="1" x14ac:dyDescent="0.35">
      <c r="B87" s="280"/>
      <c r="C87" s="245"/>
      <c r="D87" s="245"/>
      <c r="E87" s="245"/>
      <c r="F87" s="245"/>
      <c r="G87" s="245"/>
      <c r="H87" s="245"/>
      <c r="I87" s="245"/>
      <c r="J87" s="245"/>
      <c r="K87" s="245"/>
      <c r="L87" s="245"/>
      <c r="M87" s="245"/>
      <c r="N87" s="245"/>
      <c r="O87" s="245"/>
      <c r="P87" s="245"/>
      <c r="Q87" s="245"/>
      <c r="R87" s="245"/>
      <c r="S87" s="245"/>
      <c r="T87" s="245"/>
      <c r="U87" s="245"/>
      <c r="V87" s="245"/>
      <c r="W87" s="245"/>
      <c r="X87" s="245"/>
      <c r="Y87" s="245"/>
      <c r="Z87" s="245"/>
      <c r="AA87" s="245"/>
      <c r="AB87" s="245"/>
      <c r="AC87" s="245"/>
      <c r="AD87" s="245"/>
      <c r="AE87" s="245"/>
      <c r="AF87" s="245"/>
      <c r="AG87" s="245"/>
      <c r="AH87" s="245"/>
      <c r="AI87" s="245"/>
      <c r="AJ87" s="245"/>
      <c r="AK87" s="245"/>
      <c r="AL87" s="245"/>
      <c r="AM87" s="245"/>
      <c r="AN87" s="245"/>
    </row>
    <row r="88" spans="2:42" x14ac:dyDescent="0.35">
      <c r="B88" s="1253" t="s">
        <v>134</v>
      </c>
      <c r="C88" s="1253"/>
      <c r="D88" s="1253"/>
      <c r="E88" s="1253"/>
      <c r="F88" s="1253"/>
      <c r="G88" s="1253"/>
      <c r="H88" s="1253"/>
      <c r="I88" s="1253"/>
      <c r="J88" s="1253"/>
      <c r="K88" s="1253"/>
      <c r="L88" s="1253"/>
      <c r="M88" s="1253"/>
      <c r="N88" s="1253"/>
      <c r="O88" s="1253"/>
      <c r="P88" s="1253"/>
      <c r="Q88" s="1253"/>
      <c r="R88" s="1253"/>
      <c r="S88" s="1253"/>
      <c r="T88" s="1253"/>
      <c r="U88" s="1253"/>
      <c r="V88" s="1253"/>
      <c r="W88" s="1253"/>
      <c r="X88" s="1253"/>
      <c r="Y88" s="1253"/>
      <c r="Z88" s="219"/>
      <c r="AA88" s="219"/>
      <c r="AB88" s="219"/>
      <c r="AC88" s="219"/>
      <c r="AD88" s="219"/>
      <c r="AE88" s="219"/>
      <c r="AF88" s="219"/>
      <c r="AG88" s="219"/>
      <c r="AH88" s="219"/>
      <c r="AI88" s="219"/>
      <c r="AJ88" s="219"/>
      <c r="AK88" s="219"/>
      <c r="AL88" s="219"/>
      <c r="AM88" s="219"/>
      <c r="AN88" s="219"/>
      <c r="AO88" s="328"/>
      <c r="AP88" s="328"/>
    </row>
    <row r="89" spans="2:42" ht="19.399999999999999" customHeight="1" x14ac:dyDescent="0.35">
      <c r="B89" s="1346" t="s">
        <v>1826</v>
      </c>
      <c r="C89" s="1346"/>
      <c r="D89" s="1346"/>
      <c r="E89" s="1346"/>
      <c r="F89" s="1346"/>
      <c r="G89" s="1346"/>
      <c r="H89" s="1346"/>
      <c r="I89" s="1346"/>
      <c r="J89" s="1346"/>
      <c r="K89" s="1346"/>
      <c r="L89" s="1346"/>
      <c r="M89" s="1346"/>
      <c r="N89" s="1346"/>
      <c r="O89" s="1346"/>
      <c r="P89" s="1346"/>
      <c r="Q89" s="1346"/>
      <c r="R89" s="1346"/>
      <c r="S89" s="1346"/>
      <c r="T89" s="1346"/>
      <c r="U89" s="1346"/>
      <c r="V89" s="1346"/>
      <c r="W89" s="1346"/>
      <c r="X89" s="1346"/>
      <c r="Y89" s="1346"/>
      <c r="Z89" s="1346"/>
      <c r="AA89" s="1346"/>
      <c r="AB89" s="1346"/>
      <c r="AC89" s="1346"/>
      <c r="AD89" s="220"/>
      <c r="AE89" s="220"/>
      <c r="AF89" s="220"/>
      <c r="AG89" s="220"/>
      <c r="AH89" s="220"/>
      <c r="AI89" s="220"/>
      <c r="AJ89" s="220"/>
      <c r="AK89" s="220"/>
      <c r="AL89" s="220"/>
      <c r="AM89" s="220"/>
      <c r="AN89" s="220"/>
      <c r="AO89" s="220"/>
      <c r="AP89" s="220"/>
    </row>
    <row r="90" spans="2:42" ht="11.9" customHeight="1" x14ac:dyDescent="0.35">
      <c r="B90" s="251"/>
      <c r="C90" s="251"/>
      <c r="D90" s="251"/>
      <c r="E90" s="251"/>
      <c r="F90" s="251"/>
      <c r="G90" s="251"/>
      <c r="H90" s="251"/>
      <c r="I90" s="251"/>
      <c r="J90" s="251"/>
      <c r="K90" s="251"/>
      <c r="L90" s="251"/>
      <c r="M90" s="251"/>
      <c r="V90" s="229"/>
      <c r="W90" s="229"/>
      <c r="X90" s="229"/>
      <c r="Y90" s="229"/>
      <c r="Z90" s="229"/>
      <c r="AA90" s="229"/>
      <c r="AB90" s="229"/>
      <c r="AC90" s="229"/>
      <c r="AD90" s="229"/>
      <c r="AE90" s="229"/>
      <c r="AF90" s="229"/>
      <c r="AG90" s="229"/>
      <c r="AH90" s="229"/>
      <c r="AI90" s="229"/>
      <c r="AJ90" s="229"/>
      <c r="AK90" s="229"/>
      <c r="AL90" s="229"/>
      <c r="AM90" s="229"/>
      <c r="AN90" s="229"/>
      <c r="AO90" s="229"/>
      <c r="AP90" s="229"/>
    </row>
    <row r="91" spans="2:42" ht="14.9" customHeight="1" x14ac:dyDescent="0.35">
      <c r="B91" s="1256" t="s">
        <v>278</v>
      </c>
      <c r="C91" s="1257"/>
      <c r="D91" s="1276" t="s">
        <v>279</v>
      </c>
      <c r="E91" s="1277"/>
      <c r="F91" s="1277"/>
      <c r="G91" s="1277"/>
      <c r="H91" s="1277"/>
      <c r="I91" s="1277"/>
      <c r="J91" s="1277"/>
      <c r="K91" s="1277"/>
      <c r="L91" s="1277"/>
      <c r="M91" s="1277"/>
      <c r="N91" s="1277"/>
      <c r="O91" s="1277"/>
      <c r="P91" s="1277"/>
      <c r="Q91" s="1277"/>
      <c r="R91" s="1277"/>
      <c r="S91" s="1277"/>
      <c r="T91" s="1277"/>
      <c r="U91" s="1277"/>
      <c r="V91" s="1277"/>
      <c r="W91" s="1277"/>
      <c r="X91" s="1277"/>
      <c r="Y91" s="1277"/>
      <c r="Z91" s="1277"/>
      <c r="AA91" s="1278"/>
      <c r="AB91" s="1261" t="s">
        <v>280</v>
      </c>
      <c r="AC91" s="1262"/>
      <c r="AD91" s="1262"/>
      <c r="AE91" s="1262"/>
      <c r="AF91" s="1262"/>
      <c r="AG91" s="1262"/>
      <c r="AH91" s="1262"/>
      <c r="AI91" s="1262"/>
      <c r="AJ91" s="1262"/>
      <c r="AK91" s="1262"/>
      <c r="AL91" s="1262"/>
      <c r="AM91" s="1262"/>
      <c r="AN91" s="1263"/>
      <c r="AO91" s="328"/>
      <c r="AP91" s="328"/>
    </row>
    <row r="92" spans="2:42" x14ac:dyDescent="0.35">
      <c r="B92" s="1258"/>
      <c r="C92" s="1350"/>
      <c r="D92" s="294">
        <v>2018</v>
      </c>
      <c r="E92" s="1264">
        <v>2019</v>
      </c>
      <c r="F92" s="1359"/>
      <c r="G92" s="1359"/>
      <c r="H92" s="1266"/>
      <c r="I92" s="1264">
        <v>2020</v>
      </c>
      <c r="J92" s="1359"/>
      <c r="K92" s="1359"/>
      <c r="L92" s="1359"/>
      <c r="M92" s="1264">
        <v>2021</v>
      </c>
      <c r="N92" s="1359"/>
      <c r="O92" s="1359"/>
      <c r="P92" s="1359"/>
      <c r="Q92" s="1264">
        <v>2022</v>
      </c>
      <c r="R92" s="1265"/>
      <c r="S92" s="1265"/>
      <c r="T92" s="1265"/>
      <c r="U92" s="1264">
        <v>2023</v>
      </c>
      <c r="V92" s="1265"/>
      <c r="W92" s="1265"/>
      <c r="X92" s="1266"/>
      <c r="Y92" s="299"/>
      <c r="Z92" s="439">
        <v>2024</v>
      </c>
      <c r="AA92" s="439"/>
      <c r="AB92" s="335"/>
      <c r="AC92" s="1270">
        <v>2025</v>
      </c>
      <c r="AD92" s="1271"/>
      <c r="AE92" s="1271"/>
      <c r="AF92" s="1272"/>
      <c r="AG92" s="1270">
        <v>2026</v>
      </c>
      <c r="AH92" s="1271"/>
      <c r="AI92" s="1271"/>
      <c r="AJ92" s="1272"/>
      <c r="AK92" s="1270">
        <v>2027</v>
      </c>
      <c r="AL92" s="1271"/>
      <c r="AM92" s="1271"/>
      <c r="AN92" s="1272"/>
      <c r="AO92" s="229"/>
      <c r="AP92" s="229"/>
    </row>
    <row r="93" spans="2:42" x14ac:dyDescent="0.35">
      <c r="B93" s="1258"/>
      <c r="C93" s="1350"/>
      <c r="D93" s="222" t="s">
        <v>281</v>
      </c>
      <c r="E93" s="221" t="s">
        <v>282</v>
      </c>
      <c r="F93" s="222" t="s">
        <v>283</v>
      </c>
      <c r="G93" s="222" t="s">
        <v>238</v>
      </c>
      <c r="H93" s="228" t="s">
        <v>281</v>
      </c>
      <c r="I93" s="222" t="s">
        <v>282</v>
      </c>
      <c r="J93" s="222" t="s">
        <v>283</v>
      </c>
      <c r="K93" s="222" t="s">
        <v>238</v>
      </c>
      <c r="L93" s="222" t="s">
        <v>281</v>
      </c>
      <c r="M93" s="221" t="s">
        <v>282</v>
      </c>
      <c r="N93" s="222" t="s">
        <v>283</v>
      </c>
      <c r="O93" s="222" t="s">
        <v>238</v>
      </c>
      <c r="P93" s="222" t="s">
        <v>281</v>
      </c>
      <c r="Q93" s="221" t="s">
        <v>282</v>
      </c>
      <c r="R93" s="222" t="s">
        <v>283</v>
      </c>
      <c r="S93" s="222" t="s">
        <v>238</v>
      </c>
      <c r="T93" s="222" t="s">
        <v>281</v>
      </c>
      <c r="U93" s="221" t="s">
        <v>282</v>
      </c>
      <c r="V93" s="222" t="s">
        <v>283</v>
      </c>
      <c r="W93" s="222" t="s">
        <v>238</v>
      </c>
      <c r="X93" s="228" t="s">
        <v>281</v>
      </c>
      <c r="Y93" s="222" t="s">
        <v>282</v>
      </c>
      <c r="Z93" s="303" t="s">
        <v>283</v>
      </c>
      <c r="AA93" s="222" t="s">
        <v>238</v>
      </c>
      <c r="AB93" s="326" t="s">
        <v>281</v>
      </c>
      <c r="AC93" s="325" t="s">
        <v>282</v>
      </c>
      <c r="AD93" s="353" t="s">
        <v>283</v>
      </c>
      <c r="AE93" s="326" t="s">
        <v>238</v>
      </c>
      <c r="AF93" s="435" t="s">
        <v>281</v>
      </c>
      <c r="AG93" s="232" t="s">
        <v>282</v>
      </c>
      <c r="AH93" s="267" t="s">
        <v>283</v>
      </c>
      <c r="AI93" s="267" t="s">
        <v>238</v>
      </c>
      <c r="AJ93" s="334" t="s">
        <v>281</v>
      </c>
      <c r="AK93" s="232" t="s">
        <v>282</v>
      </c>
      <c r="AL93" s="267" t="s">
        <v>283</v>
      </c>
      <c r="AM93" s="267" t="s">
        <v>238</v>
      </c>
      <c r="AN93" s="286" t="s">
        <v>281</v>
      </c>
      <c r="AO93" s="229"/>
      <c r="AP93" s="229"/>
    </row>
    <row r="94" spans="2:42" ht="14.9" customHeight="1" x14ac:dyDescent="0.35">
      <c r="B94" s="432" t="s">
        <v>382</v>
      </c>
      <c r="C94" s="377" t="s">
        <v>383</v>
      </c>
      <c r="D94" s="378"/>
      <c r="E94" s="379"/>
      <c r="F94" s="379"/>
      <c r="G94" s="379"/>
      <c r="H94" s="345">
        <f>'Haver Pivoted'!GS41</f>
        <v>72.497</v>
      </c>
      <c r="I94" s="345">
        <f>'Haver Pivoted'!GT41</f>
        <v>75.649000000000001</v>
      </c>
      <c r="J94" s="345">
        <f>'Haver Pivoted'!GU41</f>
        <v>75.483999999999995</v>
      </c>
      <c r="K94" s="345">
        <f>'Haver Pivoted'!GV41</f>
        <v>79.444000000000003</v>
      </c>
      <c r="L94" s="345">
        <f>'Haver Pivoted'!GW41</f>
        <v>75.742999999999995</v>
      </c>
      <c r="M94" s="345">
        <f>'Haver Pivoted'!GX41</f>
        <v>73.183000000000007</v>
      </c>
      <c r="N94" s="345">
        <f>'Haver Pivoted'!GY41</f>
        <v>74.421000000000006</v>
      </c>
      <c r="O94" s="345">
        <f>'Haver Pivoted'!GZ41</f>
        <v>70.334000000000003</v>
      </c>
      <c r="P94" s="345">
        <f>'Haver Pivoted'!HA41</f>
        <v>72.707999999999998</v>
      </c>
      <c r="Q94" s="345">
        <f>'Haver Pivoted'!HB41</f>
        <v>75.024000000000001</v>
      </c>
      <c r="R94" s="345">
        <f>AVERAGE($H$94:$N$94)</f>
        <v>75.203000000000003</v>
      </c>
      <c r="S94" s="345">
        <f t="shared" ref="S94" si="47">AVERAGE($H$94:$N$94)</f>
        <v>75.203000000000003</v>
      </c>
      <c r="T94" s="345">
        <f>AVERAGE($H$94:$N$94)+T95</f>
        <v>76.022000000000006</v>
      </c>
      <c r="U94" s="345">
        <f>AVERAGE($H$94:$N$94)+U95</f>
        <v>76.022000000000006</v>
      </c>
      <c r="V94" s="345">
        <f>AVERAGE($H$94:$N$94)+V95</f>
        <v>76.022000000000006</v>
      </c>
      <c r="W94" s="345">
        <f>AVERAGE($H$94:$N$94)+W95</f>
        <v>76.022000000000006</v>
      </c>
      <c r="X94" s="370">
        <f>AVERAGE($H$94:$N$94)+X95</f>
        <v>77.680999999999997</v>
      </c>
      <c r="Y94" s="370">
        <f t="shared" ref="Y94:AC94" si="48">AVERAGE($H$94:$N$94)+Y95</f>
        <v>77.680999999999997</v>
      </c>
      <c r="Z94" s="370">
        <f>AVERAGE($H$94:$N$94)+Z95</f>
        <v>77.680999999999997</v>
      </c>
      <c r="AA94" s="370">
        <f t="shared" si="48"/>
        <v>77.680999999999997</v>
      </c>
      <c r="AB94" s="370">
        <f t="shared" si="48"/>
        <v>79.275000000000006</v>
      </c>
      <c r="AC94" s="370">
        <f t="shared" si="48"/>
        <v>79.275000000000006</v>
      </c>
      <c r="AD94" s="370">
        <f>AVERAGE($H$94:$N$94)+AD95</f>
        <v>75.203000000000003</v>
      </c>
      <c r="AE94" s="370">
        <f>AVERAGE($H$94:$N$94)+AE95</f>
        <v>75.203000000000003</v>
      </c>
      <c r="AF94" s="370">
        <f t="shared" ref="AF94" si="49">AVERAGE($H$94:$N$94)+AF95</f>
        <v>75.203000000000003</v>
      </c>
      <c r="AG94" s="370">
        <f>AVERAGE($H$94:$N$94)+AG95</f>
        <v>75.203000000000003</v>
      </c>
      <c r="AH94" s="370">
        <f>AVERAGE($H$94:$N$94)+AH95</f>
        <v>75.203000000000003</v>
      </c>
      <c r="AI94" s="370">
        <f>AVERAGE($H$94:$N$94)+AI95</f>
        <v>75.203000000000003</v>
      </c>
      <c r="AJ94" s="370">
        <f>AVERAGE($H$94:$N$94)+AJ95</f>
        <v>75.203000000000003</v>
      </c>
      <c r="AK94" s="370">
        <f t="shared" ref="AK94:AM94" si="50">AVERAGE($H$94:$N$94)+AK95</f>
        <v>75.203000000000003</v>
      </c>
      <c r="AL94" s="370">
        <f t="shared" si="50"/>
        <v>75.203000000000003</v>
      </c>
      <c r="AM94" s="370">
        <f t="shared" si="50"/>
        <v>75.203000000000003</v>
      </c>
      <c r="AN94" s="370">
        <f>AVERAGE($H$94:$N$94)+AN95</f>
        <v>75.203000000000003</v>
      </c>
      <c r="AO94" s="239"/>
      <c r="AP94" s="239"/>
    </row>
    <row r="95" spans="2:42" x14ac:dyDescent="0.35">
      <c r="B95" s="341" t="s">
        <v>1178</v>
      </c>
      <c r="C95" s="35"/>
      <c r="D95" s="341"/>
      <c r="E95" s="35"/>
      <c r="F95" s="35"/>
      <c r="G95" s="35"/>
      <c r="H95" s="35"/>
      <c r="I95" s="35"/>
      <c r="J95" s="35"/>
      <c r="K95" s="35"/>
      <c r="L95" s="35"/>
      <c r="M95" s="35"/>
      <c r="N95" s="35"/>
      <c r="O95" s="35"/>
      <c r="P95" s="35"/>
      <c r="Q95" s="35"/>
      <c r="R95" s="35"/>
      <c r="S95" s="346">
        <f>'IRA and CHIPS'!E185</f>
        <v>0</v>
      </c>
      <c r="T95" s="346">
        <f>'IRA and CHIPS'!F185</f>
        <v>0.81899999999999995</v>
      </c>
      <c r="U95" s="346">
        <f>'IRA and CHIPS'!G185</f>
        <v>0.81899999999999995</v>
      </c>
      <c r="V95" s="346">
        <f>'IRA and CHIPS'!H185</f>
        <v>0.81899999999999995</v>
      </c>
      <c r="W95" s="346">
        <f>'IRA and CHIPS'!I185</f>
        <v>0.81899999999999995</v>
      </c>
      <c r="X95" s="369">
        <f>'IRA and CHIPS'!J185</f>
        <v>2.4780000000000002</v>
      </c>
      <c r="Y95" s="369">
        <f>'IRA and CHIPS'!K185</f>
        <v>2.4780000000000002</v>
      </c>
      <c r="Z95" s="369">
        <f>'IRA and CHIPS'!L185</f>
        <v>2.4780000000000002</v>
      </c>
      <c r="AA95" s="369">
        <f>'IRA and CHIPS'!M185</f>
        <v>2.4780000000000002</v>
      </c>
      <c r="AB95" s="369">
        <f>'IRA and CHIPS'!N185</f>
        <v>4.0720000000000001</v>
      </c>
      <c r="AC95" s="369">
        <f>'IRA and CHIPS'!O185</f>
        <v>4.0720000000000001</v>
      </c>
      <c r="AD95" s="369">
        <f>'IRA and CHIPS'!T185</f>
        <v>0</v>
      </c>
      <c r="AE95" s="369">
        <v>0</v>
      </c>
      <c r="AF95" s="369">
        <v>0</v>
      </c>
      <c r="AG95" s="369">
        <v>0</v>
      </c>
      <c r="AH95" s="369">
        <v>0</v>
      </c>
      <c r="AI95" s="369">
        <v>0</v>
      </c>
      <c r="AJ95" s="369">
        <v>0</v>
      </c>
      <c r="AK95" s="369">
        <v>0</v>
      </c>
      <c r="AL95" s="369">
        <v>0</v>
      </c>
      <c r="AM95" s="369">
        <v>0</v>
      </c>
      <c r="AN95" s="369">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5"/>
  <sheetViews>
    <sheetView zoomScaleNormal="100" workbookViewId="0">
      <pane xSplit="2" ySplit="4" topLeftCell="AC5" activePane="bottomRight" state="frozen"/>
      <selection pane="topRight" activeCell="C1" sqref="C1"/>
      <selection pane="bottomLeft" activeCell="A5" sqref="A5"/>
      <selection pane="bottomRight" activeCell="AF21" sqref="AF21"/>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2:72" ht="20.25" customHeight="1" x14ac:dyDescent="0.35">
      <c r="B1" s="1253" t="s">
        <v>384</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219"/>
      <c r="AE1" s="219"/>
      <c r="AF1" s="219"/>
      <c r="AG1" s="219"/>
      <c r="AH1" s="219"/>
    </row>
    <row r="2" spans="2:72" ht="14.25" customHeight="1" x14ac:dyDescent="0.35">
      <c r="B2" s="1363" t="s">
        <v>385</v>
      </c>
      <c r="C2" s="1363"/>
      <c r="D2" s="1363"/>
      <c r="E2" s="1363"/>
      <c r="F2" s="1363"/>
      <c r="G2" s="1363"/>
      <c r="H2" s="1363"/>
      <c r="I2" s="1363"/>
      <c r="J2" s="1363"/>
      <c r="K2" s="1363"/>
      <c r="L2" s="1363"/>
      <c r="M2" s="1363"/>
      <c r="N2" s="1363"/>
      <c r="O2" s="1363"/>
      <c r="P2" s="1363"/>
      <c r="Q2" s="1363"/>
      <c r="R2" s="1363"/>
      <c r="S2" s="1363"/>
      <c r="T2" s="1363"/>
      <c r="U2" s="1363"/>
      <c r="V2" s="1363"/>
      <c r="W2" s="1363"/>
      <c r="X2" s="1363"/>
      <c r="Y2" s="1363"/>
      <c r="Z2" s="1363"/>
      <c r="AA2" s="1363"/>
      <c r="AB2" s="1363"/>
      <c r="AC2" s="1363"/>
      <c r="AD2" s="251"/>
      <c r="AE2" s="251"/>
      <c r="AF2" s="251"/>
      <c r="AG2" s="251"/>
      <c r="AH2" s="251"/>
    </row>
    <row r="3" spans="2:72" ht="9" customHeight="1" x14ac:dyDescent="0.35">
      <c r="B3" s="1363"/>
      <c r="C3" s="1363"/>
      <c r="D3" s="1363"/>
      <c r="E3" s="1363"/>
      <c r="F3" s="1363"/>
      <c r="G3" s="1363"/>
      <c r="H3" s="1363"/>
      <c r="I3" s="1363"/>
      <c r="J3" s="1363"/>
      <c r="K3" s="1363"/>
      <c r="L3" s="1363"/>
      <c r="M3" s="1363"/>
      <c r="N3" s="1363"/>
      <c r="O3" s="1363"/>
      <c r="P3" s="1363"/>
      <c r="Q3" s="1363"/>
      <c r="R3" s="1363"/>
      <c r="S3" s="1363"/>
      <c r="T3" s="1363"/>
      <c r="U3" s="1363"/>
      <c r="V3" s="1363"/>
      <c r="W3" s="1363"/>
      <c r="X3" s="1363"/>
      <c r="Y3" s="1363"/>
      <c r="Z3" s="1363"/>
      <c r="AA3" s="1363"/>
      <c r="AB3" s="1363"/>
      <c r="AC3" s="1363"/>
      <c r="AD3" s="251"/>
      <c r="AE3" s="251"/>
      <c r="AF3" s="251"/>
      <c r="AG3" s="251"/>
      <c r="AH3" s="251"/>
    </row>
    <row r="4" spans="2:72" ht="27" customHeight="1" x14ac:dyDescent="0.35">
      <c r="B4" s="1363"/>
      <c r="C4" s="1363"/>
      <c r="D4" s="1363"/>
      <c r="E4" s="1363"/>
      <c r="F4" s="1363"/>
      <c r="G4" s="1363"/>
      <c r="H4" s="1363"/>
      <c r="I4" s="1363"/>
      <c r="J4" s="1363"/>
      <c r="K4" s="1363"/>
      <c r="L4" s="1363"/>
      <c r="M4" s="1363"/>
      <c r="N4" s="1363"/>
      <c r="O4" s="1363"/>
      <c r="P4" s="1363"/>
      <c r="Q4" s="1363"/>
      <c r="R4" s="1363"/>
      <c r="S4" s="1363"/>
      <c r="T4" s="1363"/>
      <c r="U4" s="1363"/>
      <c r="V4" s="1363"/>
      <c r="W4" s="1363"/>
      <c r="X4" s="1363"/>
      <c r="Y4" s="1363"/>
      <c r="Z4" s="1363"/>
      <c r="AA4" s="1363"/>
      <c r="AB4" s="1363"/>
      <c r="AC4" s="1363"/>
      <c r="AD4" s="251"/>
      <c r="AE4" s="251"/>
      <c r="AF4" s="251"/>
      <c r="AG4" s="251"/>
      <c r="AH4" s="251"/>
      <c r="AJ4" s="496"/>
      <c r="AK4" s="496"/>
      <c r="AL4" s="496"/>
      <c r="AM4" s="496"/>
      <c r="AN4" s="496"/>
      <c r="AO4" s="496"/>
      <c r="AP4" s="496"/>
      <c r="AQ4" s="496"/>
      <c r="AR4" s="496"/>
    </row>
    <row r="5" spans="2:72" x14ac:dyDescent="0.35">
      <c r="B5" s="280"/>
      <c r="AC5" s="234"/>
      <c r="AD5" s="234"/>
      <c r="AE5" s="234"/>
      <c r="AF5" s="234"/>
      <c r="AG5" s="234"/>
      <c r="AH5" s="234"/>
      <c r="AI5" s="234"/>
      <c r="AJ5" s="234"/>
      <c r="AK5" s="234"/>
    </row>
    <row r="6" spans="2:72" ht="14.9" customHeight="1" x14ac:dyDescent="0.35">
      <c r="B6" s="1375"/>
      <c r="C6" s="1376"/>
      <c r="D6" s="1374" t="s">
        <v>279</v>
      </c>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262" t="s">
        <v>280</v>
      </c>
      <c r="AD6" s="1262"/>
      <c r="AE6" s="1262"/>
      <c r="AF6" s="1262"/>
      <c r="AG6" s="1262"/>
      <c r="AH6" s="1262"/>
      <c r="AI6" s="1262"/>
      <c r="AJ6" s="1262"/>
      <c r="AK6" s="1262"/>
      <c r="AL6" s="1262"/>
      <c r="AM6" s="1262"/>
      <c r="AN6" s="1263"/>
    </row>
    <row r="7" spans="2:72" ht="14.9" customHeight="1" x14ac:dyDescent="0.35">
      <c r="B7" s="1377"/>
      <c r="C7" s="1378"/>
      <c r="D7" s="441">
        <v>2018</v>
      </c>
      <c r="E7" s="1379">
        <v>2019</v>
      </c>
      <c r="F7" s="1380"/>
      <c r="G7" s="1380"/>
      <c r="H7" s="1381"/>
      <c r="I7" s="1379">
        <v>2020</v>
      </c>
      <c r="J7" s="1380"/>
      <c r="K7" s="1380"/>
      <c r="L7" s="1380"/>
      <c r="M7" s="1379">
        <v>2021</v>
      </c>
      <c r="N7" s="1380"/>
      <c r="O7" s="1380"/>
      <c r="P7" s="1380"/>
      <c r="Q7" s="1379">
        <v>2022</v>
      </c>
      <c r="R7" s="1380"/>
      <c r="S7" s="1380"/>
      <c r="T7" s="1381"/>
      <c r="U7" s="289"/>
      <c r="V7" s="227">
        <v>2023</v>
      </c>
      <c r="W7" s="227"/>
      <c r="X7" s="226"/>
      <c r="Y7" s="71"/>
      <c r="Z7" s="227">
        <v>2024</v>
      </c>
      <c r="AA7" s="227"/>
      <c r="AB7" s="226"/>
      <c r="AC7" s="1270">
        <v>2025</v>
      </c>
      <c r="AD7" s="1271"/>
      <c r="AE7" s="1271"/>
      <c r="AF7" s="1272"/>
      <c r="AG7" s="1270">
        <v>2026</v>
      </c>
      <c r="AH7" s="1271"/>
      <c r="AI7" s="1271"/>
      <c r="AJ7" s="1272"/>
      <c r="AK7" s="1270">
        <v>2027</v>
      </c>
      <c r="AL7" s="1271"/>
      <c r="AM7" s="1271"/>
      <c r="AN7" s="1272"/>
    </row>
    <row r="8" spans="2:72" x14ac:dyDescent="0.35">
      <c r="B8" s="1377"/>
      <c r="C8" s="1378"/>
      <c r="D8" s="441" t="s">
        <v>281</v>
      </c>
      <c r="E8" s="441" t="s">
        <v>282</v>
      </c>
      <c r="F8" s="442" t="s">
        <v>283</v>
      </c>
      <c r="G8" s="442" t="s">
        <v>238</v>
      </c>
      <c r="H8" s="483" t="s">
        <v>281</v>
      </c>
      <c r="I8" s="442" t="s">
        <v>282</v>
      </c>
      <c r="J8" s="442" t="s">
        <v>283</v>
      </c>
      <c r="K8" s="442" t="s">
        <v>238</v>
      </c>
      <c r="L8" s="442" t="s">
        <v>281</v>
      </c>
      <c r="M8" s="458" t="s">
        <v>282</v>
      </c>
      <c r="N8" s="459" t="s">
        <v>283</v>
      </c>
      <c r="O8" s="459" t="s">
        <v>238</v>
      </c>
      <c r="P8" s="459" t="s">
        <v>281</v>
      </c>
      <c r="Q8" s="458" t="s">
        <v>282</v>
      </c>
      <c r="R8" s="459" t="s">
        <v>283</v>
      </c>
      <c r="S8" s="459" t="s">
        <v>238</v>
      </c>
      <c r="T8" s="460" t="s">
        <v>281</v>
      </c>
      <c r="U8" s="282" t="s">
        <v>282</v>
      </c>
      <c r="V8" s="283" t="s">
        <v>283</v>
      </c>
      <c r="W8" s="283" t="s">
        <v>238</v>
      </c>
      <c r="X8" s="281" t="s">
        <v>281</v>
      </c>
      <c r="Y8" s="283" t="s">
        <v>282</v>
      </c>
      <c r="Z8" s="288" t="s">
        <v>283</v>
      </c>
      <c r="AA8" s="283" t="s">
        <v>238</v>
      </c>
      <c r="AB8" s="283" t="s">
        <v>281</v>
      </c>
      <c r="AC8" s="282" t="s">
        <v>282</v>
      </c>
      <c r="AD8" s="267" t="s">
        <v>283</v>
      </c>
      <c r="AE8" s="269" t="s">
        <v>238</v>
      </c>
      <c r="AF8" s="298" t="s">
        <v>281</v>
      </c>
      <c r="AG8" s="232" t="s">
        <v>282</v>
      </c>
      <c r="AH8" s="267" t="s">
        <v>283</v>
      </c>
      <c r="AI8" s="267" t="s">
        <v>238</v>
      </c>
      <c r="AJ8" s="286" t="s">
        <v>281</v>
      </c>
      <c r="AK8" s="232" t="s">
        <v>282</v>
      </c>
      <c r="AL8" s="267" t="s">
        <v>283</v>
      </c>
      <c r="AM8" s="267" t="s">
        <v>238</v>
      </c>
      <c r="AN8" s="286" t="s">
        <v>281</v>
      </c>
    </row>
    <row r="9" spans="2:72" ht="18" customHeight="1" x14ac:dyDescent="0.35">
      <c r="B9" s="478" t="s">
        <v>2317</v>
      </c>
      <c r="C9" s="479"/>
      <c r="D9" s="480"/>
      <c r="E9" s="480"/>
      <c r="F9" s="480"/>
      <c r="G9" s="480"/>
      <c r="H9" s="480"/>
      <c r="I9" s="480"/>
      <c r="J9" s="480"/>
      <c r="K9" s="480"/>
      <c r="L9" s="480"/>
      <c r="M9" s="456">
        <v>1609.9</v>
      </c>
      <c r="N9" s="456">
        <v>1588.5</v>
      </c>
      <c r="O9" s="456">
        <v>1576.4</v>
      </c>
      <c r="P9" s="456">
        <v>1602.5</v>
      </c>
      <c r="Q9" s="456">
        <v>1606.5</v>
      </c>
      <c r="R9" s="456">
        <v>1622.1</v>
      </c>
      <c r="S9" s="456">
        <v>1641.4</v>
      </c>
      <c r="T9" s="456">
        <v>1694.2</v>
      </c>
      <c r="U9" s="456">
        <v>1731.6</v>
      </c>
      <c r="V9" s="456">
        <v>1741.8</v>
      </c>
      <c r="W9" s="456">
        <v>1780.9</v>
      </c>
      <c r="X9" s="456">
        <v>1796.2</v>
      </c>
      <c r="Y9" s="456">
        <v>1810.3</v>
      </c>
      <c r="Z9" s="457">
        <v>1842.2</v>
      </c>
      <c r="AA9" s="457">
        <v>1893.4</v>
      </c>
      <c r="AB9" s="457">
        <v>1899.3</v>
      </c>
      <c r="AC9" s="457">
        <v>1905.1</v>
      </c>
      <c r="AD9" s="457">
        <f t="shared" ref="AD9:BI9" si="0">AD10+AD11</f>
        <v>1913.1000000000001</v>
      </c>
      <c r="AE9" s="457">
        <f t="shared" si="0"/>
        <v>1918.7</v>
      </c>
      <c r="AF9" s="457">
        <f t="shared" si="0"/>
        <v>1947.1</v>
      </c>
      <c r="AG9" s="457">
        <f t="shared" si="0"/>
        <v>1982.1</v>
      </c>
      <c r="AH9" s="457">
        <f t="shared" si="0"/>
        <v>1997.5</v>
      </c>
      <c r="AI9" s="457">
        <f t="shared" si="0"/>
        <v>2014.7</v>
      </c>
      <c r="AJ9" s="457">
        <f t="shared" si="0"/>
        <v>2024.9</v>
      </c>
      <c r="AK9" s="457">
        <f t="shared" si="0"/>
        <v>2034.5</v>
      </c>
      <c r="AL9" s="457">
        <f t="shared" si="0"/>
        <v>2045.6000000000001</v>
      </c>
      <c r="AM9" s="457">
        <f t="shared" si="0"/>
        <v>2057.1999999999998</v>
      </c>
      <c r="AN9" s="457">
        <f t="shared" si="0"/>
        <v>2079.0050000000001</v>
      </c>
      <c r="AO9" s="457">
        <f t="shared" si="0"/>
        <v>2088.8049999999998</v>
      </c>
      <c r="AP9" s="457">
        <f t="shared" si="0"/>
        <v>2098.8049999999998</v>
      </c>
      <c r="AQ9" s="457">
        <f t="shared" si="0"/>
        <v>2108.9050000000002</v>
      </c>
      <c r="AR9" s="457">
        <f t="shared" si="0"/>
        <v>2047.6</v>
      </c>
      <c r="AS9" s="457">
        <f t="shared" si="0"/>
        <v>2057.4</v>
      </c>
      <c r="AT9" s="457">
        <f t="shared" si="0"/>
        <v>2068.8000000000002</v>
      </c>
      <c r="AU9" s="457">
        <f t="shared" si="0"/>
        <v>2080.3000000000002</v>
      </c>
      <c r="AV9" s="457">
        <f t="shared" si="0"/>
        <v>2091.8000000000002</v>
      </c>
      <c r="AW9" s="457">
        <f t="shared" si="0"/>
        <v>2103.1999999999998</v>
      </c>
      <c r="AX9" s="457">
        <f t="shared" si="0"/>
        <v>2114.6999999999998</v>
      </c>
      <c r="AY9" s="457">
        <f t="shared" si="0"/>
        <v>2124.6999999999998</v>
      </c>
      <c r="AZ9" s="457">
        <f t="shared" si="0"/>
        <v>2134.8000000000002</v>
      </c>
      <c r="BA9" s="457">
        <f t="shared" si="0"/>
        <v>2144.9</v>
      </c>
      <c r="BB9" s="457">
        <f t="shared" si="0"/>
        <v>2156.6</v>
      </c>
      <c r="BC9" s="457">
        <f t="shared" si="0"/>
        <v>2169.1</v>
      </c>
      <c r="BD9" s="457">
        <f t="shared" si="0"/>
        <v>2181.9</v>
      </c>
      <c r="BE9" s="457">
        <f t="shared" si="0"/>
        <v>2194.8000000000002</v>
      </c>
      <c r="BF9" s="457">
        <f t="shared" si="0"/>
        <v>2207.5</v>
      </c>
      <c r="BG9" s="457">
        <f t="shared" si="0"/>
        <v>2221.3000000000002</v>
      </c>
      <c r="BH9" s="457">
        <f t="shared" si="0"/>
        <v>2235.5</v>
      </c>
      <c r="BI9" s="457">
        <f t="shared" si="0"/>
        <v>2249.3000000000002</v>
      </c>
      <c r="BJ9" s="457">
        <v>2263.1999999999998</v>
      </c>
      <c r="BK9" s="457">
        <v>2277.4</v>
      </c>
      <c r="BL9" s="457">
        <v>2290.6999999999998</v>
      </c>
      <c r="BM9" s="457">
        <v>2304.1999999999998</v>
      </c>
      <c r="BN9" s="457">
        <v>2317.3000000000002</v>
      </c>
      <c r="BO9" s="457">
        <v>2330.5</v>
      </c>
      <c r="BP9" s="457">
        <v>2343.6</v>
      </c>
      <c r="BQ9" s="457">
        <v>2356.9</v>
      </c>
      <c r="BR9">
        <v>2370.1999999999998</v>
      </c>
      <c r="BS9">
        <v>2383.6999999999998</v>
      </c>
      <c r="BT9">
        <v>2397.6</v>
      </c>
    </row>
    <row r="10" spans="2:72" ht="18" customHeight="1" x14ac:dyDescent="0.35">
      <c r="B10" s="1223" t="s">
        <v>2318</v>
      </c>
      <c r="C10" s="1218"/>
      <c r="D10" s="466"/>
      <c r="E10" s="466"/>
      <c r="F10" s="466"/>
      <c r="G10" s="466"/>
      <c r="H10" s="466"/>
      <c r="I10" s="466"/>
      <c r="J10" s="466"/>
      <c r="K10" s="466"/>
      <c r="L10" s="466"/>
      <c r="M10" s="456"/>
      <c r="N10" s="456"/>
      <c r="O10" s="456"/>
      <c r="P10" s="456"/>
      <c r="Q10" s="456"/>
      <c r="R10" s="456"/>
      <c r="S10" s="456"/>
      <c r="T10" s="456"/>
      <c r="U10" s="456"/>
      <c r="V10" s="456"/>
      <c r="W10" s="456"/>
      <c r="X10" s="456"/>
      <c r="Y10" s="456"/>
      <c r="Z10" s="457"/>
      <c r="AA10" s="457"/>
      <c r="AB10" s="457"/>
      <c r="AC10" s="457"/>
      <c r="AD10" s="457">
        <f>1.2*2</f>
        <v>2.4</v>
      </c>
      <c r="AE10" s="457">
        <f>1.2*2</f>
        <v>2.4</v>
      </c>
      <c r="AF10" s="1219">
        <v>25</v>
      </c>
      <c r="AG10" s="1219">
        <v>50</v>
      </c>
      <c r="AH10" s="1219">
        <v>55</v>
      </c>
      <c r="AI10" s="1219">
        <v>61</v>
      </c>
      <c r="AJ10" s="457">
        <f>61.2</f>
        <v>61.2</v>
      </c>
      <c r="AK10" s="457">
        <f t="shared" ref="AK10:AM10" si="1">61.2</f>
        <v>61.2</v>
      </c>
      <c r="AL10" s="457">
        <f t="shared" si="1"/>
        <v>61.2</v>
      </c>
      <c r="AM10" s="457">
        <f t="shared" si="1"/>
        <v>61.2</v>
      </c>
      <c r="AN10" s="457">
        <f>$F$64</f>
        <v>72.704999999999998</v>
      </c>
      <c r="AO10" s="457">
        <f t="shared" ref="AO10:AQ10" si="2">$F$64</f>
        <v>72.704999999999998</v>
      </c>
      <c r="AP10" s="457">
        <f t="shared" si="2"/>
        <v>72.704999999999998</v>
      </c>
      <c r="AQ10" s="457">
        <f t="shared" si="2"/>
        <v>72.704999999999998</v>
      </c>
      <c r="AR10" s="457"/>
      <c r="AS10" s="457"/>
      <c r="AT10" s="457"/>
      <c r="AU10" s="457"/>
      <c r="AV10" s="457"/>
      <c r="AW10" s="457"/>
      <c r="AX10" s="457"/>
      <c r="AY10" s="457"/>
      <c r="AZ10" s="457"/>
      <c r="BA10" s="457"/>
      <c r="BB10" s="457"/>
      <c r="BC10" s="457"/>
      <c r="BD10" s="457"/>
      <c r="BE10" s="457"/>
      <c r="BF10" s="457"/>
      <c r="BG10" s="457"/>
      <c r="BH10" s="457"/>
      <c r="BI10" s="457"/>
      <c r="BJ10" s="457"/>
      <c r="BK10" s="457"/>
      <c r="BL10" s="457"/>
      <c r="BM10" s="457"/>
      <c r="BN10" s="457"/>
      <c r="BO10" s="457"/>
      <c r="BP10" s="457"/>
      <c r="BQ10" s="457"/>
    </row>
    <row r="11" spans="2:72" ht="18" customHeight="1" x14ac:dyDescent="0.35">
      <c r="B11" s="1223" t="s">
        <v>2317</v>
      </c>
      <c r="C11" s="1218"/>
      <c r="D11" s="466"/>
      <c r="E11" s="466"/>
      <c r="F11" s="466"/>
      <c r="G11" s="466"/>
      <c r="H11" s="466"/>
      <c r="I11" s="466"/>
      <c r="J11" s="466"/>
      <c r="K11" s="466"/>
      <c r="L11" s="466"/>
      <c r="M11" s="456">
        <v>1609.9</v>
      </c>
      <c r="N11" s="456">
        <v>1588.5</v>
      </c>
      <c r="O11" s="456">
        <v>1576.4</v>
      </c>
      <c r="P11" s="456">
        <v>1602.5</v>
      </c>
      <c r="Q11" s="456">
        <v>1606.5</v>
      </c>
      <c r="R11" s="456">
        <v>1622.1</v>
      </c>
      <c r="S11" s="456">
        <v>1641.4</v>
      </c>
      <c r="T11" s="456">
        <v>1694.2</v>
      </c>
      <c r="U11" s="456">
        <v>1731.6</v>
      </c>
      <c r="V11" s="456">
        <v>1741.8</v>
      </c>
      <c r="W11" s="456">
        <v>1780.9</v>
      </c>
      <c r="X11" s="456">
        <v>1796.2</v>
      </c>
      <c r="Y11" s="456">
        <v>1810.3</v>
      </c>
      <c r="Z11" s="457">
        <v>1842.2</v>
      </c>
      <c r="AA11" s="457">
        <v>1893.4</v>
      </c>
      <c r="AB11" s="457">
        <v>1899.3</v>
      </c>
      <c r="AC11" s="457">
        <v>1905.1</v>
      </c>
      <c r="AD11" s="457">
        <v>1910.7</v>
      </c>
      <c r="AE11" s="457">
        <v>1916.3</v>
      </c>
      <c r="AF11" s="457">
        <v>1922.1</v>
      </c>
      <c r="AG11" s="457">
        <v>1932.1</v>
      </c>
      <c r="AH11" s="457">
        <v>1942.5</v>
      </c>
      <c r="AI11" s="457">
        <v>1953.7</v>
      </c>
      <c r="AJ11" s="457">
        <v>1963.7</v>
      </c>
      <c r="AK11" s="457">
        <v>1973.3</v>
      </c>
      <c r="AL11" s="457">
        <v>1984.4</v>
      </c>
      <c r="AM11" s="457">
        <v>1996</v>
      </c>
      <c r="AN11" s="457">
        <v>2006.3</v>
      </c>
      <c r="AO11" s="457">
        <v>2016.1</v>
      </c>
      <c r="AP11" s="457">
        <v>2026.1</v>
      </c>
      <c r="AQ11" s="457">
        <v>2036.2</v>
      </c>
      <c r="AR11" s="457">
        <v>2047.6</v>
      </c>
      <c r="AS11" s="457">
        <v>2057.4</v>
      </c>
      <c r="AT11" s="457">
        <v>2068.8000000000002</v>
      </c>
      <c r="AU11" s="457">
        <v>2080.3000000000002</v>
      </c>
      <c r="AV11" s="457">
        <v>2091.8000000000002</v>
      </c>
      <c r="AW11" s="457">
        <v>2103.1999999999998</v>
      </c>
      <c r="AX11" s="457">
        <v>2114.6999999999998</v>
      </c>
      <c r="AY11" s="457">
        <v>2124.6999999999998</v>
      </c>
      <c r="AZ11" s="457">
        <v>2134.8000000000002</v>
      </c>
      <c r="BA11" s="457">
        <v>2144.9</v>
      </c>
      <c r="BB11" s="457">
        <v>2156.6</v>
      </c>
      <c r="BC11" s="457">
        <v>2169.1</v>
      </c>
      <c r="BD11" s="457">
        <v>2181.9</v>
      </c>
      <c r="BE11" s="457">
        <v>2194.8000000000002</v>
      </c>
      <c r="BF11" s="457">
        <v>2207.5</v>
      </c>
      <c r="BG11" s="457">
        <v>2221.3000000000002</v>
      </c>
      <c r="BH11" s="457">
        <v>2235.5</v>
      </c>
      <c r="BI11" s="457">
        <v>2249.3000000000002</v>
      </c>
      <c r="BJ11" s="457">
        <v>2263.1999999999998</v>
      </c>
      <c r="BK11" s="457">
        <v>2277.4</v>
      </c>
      <c r="BL11" s="457">
        <v>2290.6999999999998</v>
      </c>
      <c r="BM11" s="457">
        <v>2304.1999999999998</v>
      </c>
      <c r="BN11" s="457">
        <v>2317.3000000000002</v>
      </c>
      <c r="BO11" s="457">
        <v>2330.5</v>
      </c>
      <c r="BP11" s="457">
        <v>2343.6</v>
      </c>
      <c r="BQ11" s="457">
        <v>2356.9</v>
      </c>
      <c r="BR11">
        <v>2370.1999999999998</v>
      </c>
      <c r="BS11">
        <v>2383.6999999999998</v>
      </c>
      <c r="BT11">
        <v>2397.6</v>
      </c>
    </row>
    <row r="12" spans="2:72" ht="18" customHeight="1" x14ac:dyDescent="0.35">
      <c r="B12" s="482" t="s">
        <v>2315</v>
      </c>
      <c r="C12" s="1218"/>
      <c r="D12" s="466"/>
      <c r="E12" s="466"/>
      <c r="F12" s="466"/>
      <c r="G12" s="466"/>
      <c r="H12" s="466"/>
      <c r="I12" s="466"/>
      <c r="J12" s="466"/>
      <c r="K12" s="466"/>
      <c r="L12" s="466"/>
      <c r="M12" s="1221"/>
      <c r="N12" s="1222">
        <f t="shared" ref="N12:AS12" si="3">((N9/M9)^4-1)*100</f>
        <v>-5.212018496634907</v>
      </c>
      <c r="O12" s="1222">
        <f t="shared" si="3"/>
        <v>-3.0122625536379122</v>
      </c>
      <c r="P12" s="1222">
        <f t="shared" si="3"/>
        <v>6.7889823709596397</v>
      </c>
      <c r="Q12" s="1222">
        <f t="shared" si="3"/>
        <v>1.00218447093261</v>
      </c>
      <c r="R12" s="1222">
        <f t="shared" si="3"/>
        <v>3.9411643848529243</v>
      </c>
      <c r="S12" s="1222">
        <f t="shared" si="3"/>
        <v>4.844878118550211</v>
      </c>
      <c r="T12" s="1222">
        <f t="shared" si="3"/>
        <v>13.501341155021663</v>
      </c>
      <c r="U12" s="1222">
        <f t="shared" si="3"/>
        <v>9.1268448948295564</v>
      </c>
      <c r="V12" s="1222">
        <f t="shared" si="3"/>
        <v>2.3771030680354466</v>
      </c>
      <c r="W12" s="1222">
        <f t="shared" si="3"/>
        <v>9.286115814204333</v>
      </c>
      <c r="X12" s="1222">
        <f t="shared" si="3"/>
        <v>3.4810037287705597</v>
      </c>
      <c r="Y12" s="1222">
        <f t="shared" si="3"/>
        <v>3.1771286181233149</v>
      </c>
      <c r="Z12" s="1222">
        <f t="shared" si="3"/>
        <v>7.2370618046588842</v>
      </c>
      <c r="AA12" s="1222">
        <f t="shared" si="3"/>
        <v>11.58925529022785</v>
      </c>
      <c r="AB12" s="1222">
        <f t="shared" si="3"/>
        <v>1.2522730976384899</v>
      </c>
      <c r="AC12" s="1222">
        <f t="shared" si="3"/>
        <v>1.2271093164039293</v>
      </c>
      <c r="AD12" s="1222">
        <f t="shared" si="3"/>
        <v>1.6903117471210205</v>
      </c>
      <c r="AE12" s="1222">
        <f t="shared" si="3"/>
        <v>1.1760255883533022</v>
      </c>
      <c r="AF12" s="1222">
        <f t="shared" si="3"/>
        <v>6.053431410107124</v>
      </c>
      <c r="AG12" s="1222">
        <f t="shared" si="3"/>
        <v>7.3863840728503716</v>
      </c>
      <c r="AH12" s="1222">
        <f t="shared" si="3"/>
        <v>3.1442223400736768</v>
      </c>
      <c r="AI12" s="1222">
        <f t="shared" si="3"/>
        <v>3.4890484587128734</v>
      </c>
      <c r="AJ12" s="1222">
        <f t="shared" si="3"/>
        <v>2.0405464713691313</v>
      </c>
      <c r="AK12" s="1222">
        <f t="shared" si="3"/>
        <v>1.909918726152382</v>
      </c>
      <c r="AL12" s="1222">
        <f t="shared" si="3"/>
        <v>2.2002794519144331</v>
      </c>
      <c r="AM12" s="1222">
        <f t="shared" si="3"/>
        <v>2.2876503453188146</v>
      </c>
      <c r="AN12" s="1222">
        <f t="shared" si="3"/>
        <v>4.3076287609982611</v>
      </c>
      <c r="AO12" s="1222">
        <f t="shared" si="3"/>
        <v>1.8988912049304973</v>
      </c>
      <c r="AP12" s="1222">
        <f t="shared" si="3"/>
        <v>1.9287661343921458</v>
      </c>
      <c r="AQ12" s="1222">
        <f t="shared" si="3"/>
        <v>1.9388442372539449</v>
      </c>
      <c r="AR12" s="1222">
        <f t="shared" si="3"/>
        <v>-11.130565309626849</v>
      </c>
      <c r="AS12" s="1222">
        <f t="shared" si="3"/>
        <v>1.928224319619698</v>
      </c>
      <c r="AT12" s="1222">
        <f t="shared" ref="AT12:BQ12" si="4">((AT9/AS9)^4-1)*100</f>
        <v>2.2348791967138348</v>
      </c>
      <c r="AU12" s="1222">
        <f t="shared" si="4"/>
        <v>2.2421200241868</v>
      </c>
      <c r="AV12" s="1222">
        <f t="shared" si="4"/>
        <v>2.2296227967858684</v>
      </c>
      <c r="AW12" s="1222">
        <f t="shared" si="4"/>
        <v>2.1978260860924248</v>
      </c>
      <c r="AX12" s="1222">
        <f t="shared" si="4"/>
        <v>2.2051473659413956</v>
      </c>
      <c r="AY12" s="1222">
        <f t="shared" si="4"/>
        <v>1.9049805508580819</v>
      </c>
      <c r="AZ12" s="1222">
        <f t="shared" si="4"/>
        <v>1.9150460253528845</v>
      </c>
      <c r="BA12" s="1222">
        <f t="shared" si="4"/>
        <v>1.905921462354887</v>
      </c>
      <c r="BB12" s="1222">
        <f t="shared" si="4"/>
        <v>2.1998378184763911</v>
      </c>
      <c r="BC12" s="1222">
        <f t="shared" si="4"/>
        <v>2.3386995388434473</v>
      </c>
      <c r="BD12" s="1222">
        <f t="shared" si="4"/>
        <v>2.3814018410630355</v>
      </c>
      <c r="BE12" s="1222">
        <f t="shared" si="4"/>
        <v>2.3859671243118941</v>
      </c>
      <c r="BF12" s="1222">
        <f t="shared" si="4"/>
        <v>2.3347287849643905</v>
      </c>
      <c r="BG12" s="1222">
        <f t="shared" si="4"/>
        <v>2.5241122451808984</v>
      </c>
      <c r="BH12" s="1222">
        <f t="shared" si="4"/>
        <v>2.5816854513361465</v>
      </c>
      <c r="BI12" s="1222">
        <f t="shared" si="4"/>
        <v>2.4922049092783505</v>
      </c>
      <c r="BJ12" s="1222">
        <f t="shared" si="4"/>
        <v>2.494887902064602</v>
      </c>
      <c r="BK12" s="1222">
        <f t="shared" si="4"/>
        <v>2.5334398225914434</v>
      </c>
      <c r="BL12" s="1222">
        <f t="shared" si="4"/>
        <v>2.3565402872554042</v>
      </c>
      <c r="BM12" s="1222">
        <f t="shared" si="4"/>
        <v>2.3782792724750035</v>
      </c>
      <c r="BN12" s="1222">
        <f t="shared" si="4"/>
        <v>2.2935751387593406</v>
      </c>
      <c r="BO12" s="1222">
        <f t="shared" si="4"/>
        <v>2.2980564193669784</v>
      </c>
      <c r="BP12" s="1222">
        <f t="shared" si="4"/>
        <v>2.2674738191778232</v>
      </c>
      <c r="BQ12" s="1222">
        <f t="shared" si="4"/>
        <v>2.2894087374823791</v>
      </c>
    </row>
    <row r="13" spans="2:72" ht="17.149999999999999" customHeight="1" x14ac:dyDescent="0.35">
      <c r="B13" s="482" t="s">
        <v>1961</v>
      </c>
      <c r="C13" s="475"/>
      <c r="D13" s="475"/>
      <c r="E13" s="475"/>
      <c r="F13" s="475"/>
      <c r="G13" s="475"/>
      <c r="H13" s="476"/>
      <c r="I13" s="476"/>
      <c r="J13" s="476"/>
      <c r="K13" s="476"/>
      <c r="L13" s="476"/>
      <c r="M13" s="234">
        <v>22.143000000000001</v>
      </c>
      <c r="N13" s="234">
        <v>-5.2320000000000002</v>
      </c>
      <c r="O13" s="234">
        <v>-2.996</v>
      </c>
      <c r="P13" s="234">
        <v>6.7709999999999999</v>
      </c>
      <c r="Q13" s="234">
        <v>-2.56</v>
      </c>
      <c r="R13" s="234">
        <v>3.9369999999999998</v>
      </c>
      <c r="S13" s="234">
        <v>4.8460000000000001</v>
      </c>
      <c r="T13" s="234">
        <v>13.507</v>
      </c>
      <c r="U13" s="234">
        <v>9.1310000000000002</v>
      </c>
      <c r="V13" s="234">
        <v>2.3679999999999999</v>
      </c>
      <c r="W13" s="234">
        <v>9.2949999999999999</v>
      </c>
      <c r="X13" s="234">
        <v>3.4710000000000001</v>
      </c>
      <c r="Y13" s="234">
        <v>3.1720000000000002</v>
      </c>
      <c r="Z13" s="455">
        <v>7.2409999999999997</v>
      </c>
      <c r="AA13" s="455">
        <v>11.583</v>
      </c>
      <c r="AB13" s="455">
        <v>1.272</v>
      </c>
      <c r="AC13" s="455">
        <v>1.2130000000000001</v>
      </c>
      <c r="AD13" s="455">
        <v>1.194</v>
      </c>
      <c r="AE13" s="455">
        <v>1.1639999999999999</v>
      </c>
      <c r="AF13" s="455">
        <v>1.2110000000000001</v>
      </c>
      <c r="AG13" s="455">
        <v>2.1070000000000002</v>
      </c>
      <c r="AH13" s="455">
        <v>2.1749999999999998</v>
      </c>
      <c r="AI13" s="455">
        <v>2.3199999999999998</v>
      </c>
      <c r="AJ13" s="455">
        <v>2.0579999999999998</v>
      </c>
      <c r="AK13" s="455">
        <v>1.9690000000000001</v>
      </c>
      <c r="AL13" s="455">
        <v>2.2799999999999998</v>
      </c>
      <c r="AM13" s="455">
        <v>2.34</v>
      </c>
      <c r="AN13" s="455">
        <v>2.0960000000000001</v>
      </c>
      <c r="AO13" s="455">
        <v>1.9670000000000001</v>
      </c>
      <c r="AP13" s="455">
        <v>1.992</v>
      </c>
      <c r="AQ13" s="455">
        <v>2.016</v>
      </c>
      <c r="AR13" s="455">
        <v>2.258</v>
      </c>
      <c r="AS13" s="455">
        <v>1.9179999999999999</v>
      </c>
      <c r="AT13" s="455">
        <v>2.2320000000000002</v>
      </c>
      <c r="AU13" s="455">
        <v>2.238</v>
      </c>
      <c r="AV13" s="455">
        <v>2.2429999999999999</v>
      </c>
      <c r="AW13" s="455">
        <v>2.1970000000000001</v>
      </c>
      <c r="AX13" s="455">
        <v>2.1989999999999998</v>
      </c>
      <c r="AY13" s="455">
        <v>1.9039999999999999</v>
      </c>
      <c r="AZ13" s="455">
        <v>1.9059999999999999</v>
      </c>
      <c r="BA13" s="455">
        <v>1.9059999999999999</v>
      </c>
      <c r="BB13" s="455">
        <v>2.1970000000000001</v>
      </c>
      <c r="BC13" s="455">
        <v>2.3420000000000001</v>
      </c>
      <c r="BD13" s="455">
        <v>2.391</v>
      </c>
      <c r="BE13" s="455">
        <v>2.3769999999999998</v>
      </c>
      <c r="BF13" s="455">
        <v>2.3330000000000002</v>
      </c>
      <c r="BG13" s="455">
        <v>2.536</v>
      </c>
      <c r="BH13" s="455">
        <v>2.5720000000000001</v>
      </c>
      <c r="BI13" s="455">
        <v>2.4940000000000002</v>
      </c>
      <c r="BJ13" s="455">
        <v>2.4929999999999999</v>
      </c>
      <c r="BK13" s="455">
        <v>2.5270000000000001</v>
      </c>
      <c r="BL13" s="455">
        <v>2.3690000000000002</v>
      </c>
      <c r="BM13" s="455">
        <v>2.367</v>
      </c>
      <c r="BN13" s="455">
        <v>2.2959999999999998</v>
      </c>
      <c r="BO13" s="455">
        <v>2.3010000000000002</v>
      </c>
      <c r="BP13" s="455">
        <v>2.2730000000000001</v>
      </c>
      <c r="BQ13" s="455">
        <v>2.2770000000000001</v>
      </c>
      <c r="BR13">
        <v>2.282</v>
      </c>
      <c r="BS13">
        <v>2.2869999999999999</v>
      </c>
      <c r="BT13">
        <v>2.3580000000000001</v>
      </c>
    </row>
    <row r="14" spans="2:72" ht="17.25" customHeight="1" x14ac:dyDescent="0.35">
      <c r="B14" s="487" t="s">
        <v>195</v>
      </c>
      <c r="C14" s="475" t="s">
        <v>902</v>
      </c>
      <c r="D14" s="475"/>
      <c r="E14" s="475"/>
      <c r="F14" s="475"/>
      <c r="G14" s="475"/>
      <c r="H14" s="467">
        <f>'Haver Pivoted'!GS23</f>
        <v>1439.9</v>
      </c>
      <c r="I14" s="467">
        <f>'Haver Pivoted'!GT23</f>
        <v>1459.3</v>
      </c>
      <c r="J14" s="467">
        <f>'Haver Pivoted'!GU23</f>
        <v>1567.7</v>
      </c>
      <c r="K14" s="467">
        <f>'Haver Pivoted'!GV23</f>
        <v>1526.5</v>
      </c>
      <c r="L14" s="467">
        <f>'Haver Pivoted'!GW23</f>
        <v>1538.6</v>
      </c>
      <c r="M14" s="467">
        <f>'Haver Pivoted'!GX23</f>
        <v>1613.4</v>
      </c>
      <c r="N14" s="467">
        <f>'Haver Pivoted'!GY23</f>
        <v>1597.4</v>
      </c>
      <c r="O14" s="467">
        <f>'Haver Pivoted'!GZ23</f>
        <v>1585</v>
      </c>
      <c r="P14" s="467">
        <f>'Haver Pivoted'!HA23</f>
        <v>1616.9</v>
      </c>
      <c r="Q14" s="467">
        <f>'Haver Pivoted'!HB23</f>
        <v>1606.5</v>
      </c>
      <c r="R14" s="467">
        <f>'Haver Pivoted'!HC23</f>
        <v>1622.1</v>
      </c>
      <c r="S14" s="477">
        <f>'Haver Pivoted'!HD23</f>
        <v>1641.4</v>
      </c>
      <c r="T14" s="477">
        <f>'Haver Pivoted'!HE23</f>
        <v>1694.2</v>
      </c>
      <c r="U14" s="477">
        <f>'Haver Pivoted'!HF23</f>
        <v>1731.6</v>
      </c>
      <c r="V14" s="477">
        <f>'Haver Pivoted'!HG23</f>
        <v>1741.8</v>
      </c>
      <c r="W14" s="477">
        <f>'Haver Pivoted'!HH23</f>
        <v>1780.9</v>
      </c>
      <c r="X14" s="477">
        <f>'Haver Pivoted'!HI23</f>
        <v>1796.2</v>
      </c>
      <c r="Y14" s="477">
        <f>'Haver Pivoted'!HJ23</f>
        <v>1810.3</v>
      </c>
      <c r="Z14" s="477">
        <f>'Haver Pivoted'!HK23</f>
        <v>1842.2</v>
      </c>
      <c r="AA14" s="477">
        <f>'Haver Pivoted'!HL23</f>
        <v>1893.4</v>
      </c>
      <c r="AB14" s="477">
        <f>'Haver Pivoted'!HM23</f>
        <v>1924.7</v>
      </c>
      <c r="AC14" s="477">
        <f>'Haver Pivoted'!HN23</f>
        <v>1928.4</v>
      </c>
      <c r="AD14" s="469">
        <f>(1+(AD12/100))^(1/4)*AC14+AD19</f>
        <v>1930.497842632933</v>
      </c>
      <c r="AE14" s="469">
        <f t="shared" ref="AE14:AN14" si="5">(1+(AE12/100))^(1/4)*AD14+AE19</f>
        <v>1936.1487693585325</v>
      </c>
      <c r="AF14" s="469">
        <f>(1+(AF12/100))^(1/4)*AE14+AF19</f>
        <v>1964.807040609787</v>
      </c>
      <c r="AG14" s="469">
        <f t="shared" si="5"/>
        <v>2000.1253326447838</v>
      </c>
      <c r="AH14" s="469">
        <f t="shared" si="5"/>
        <v>2015.6653811401827</v>
      </c>
      <c r="AI14" s="469">
        <f t="shared" si="5"/>
        <v>2033.0217989402386</v>
      </c>
      <c r="AJ14" s="469">
        <f t="shared" si="5"/>
        <v>2043.3145583332951</v>
      </c>
      <c r="AK14" s="469">
        <f t="shared" si="5"/>
        <v>2053.0018612914655</v>
      </c>
      <c r="AL14" s="469">
        <f t="shared" si="5"/>
        <v>2064.2028053368504</v>
      </c>
      <c r="AM14" s="469">
        <f t="shared" si="5"/>
        <v>2075.9082964113063</v>
      </c>
      <c r="AN14" s="469">
        <f t="shared" si="5"/>
        <v>2097.9115923491095</v>
      </c>
    </row>
    <row r="15" spans="2:72" ht="17.25" customHeight="1" x14ac:dyDescent="0.35">
      <c r="B15" s="487" t="s">
        <v>112</v>
      </c>
      <c r="C15" s="475"/>
      <c r="D15" s="475"/>
      <c r="E15" s="475"/>
      <c r="F15" s="475"/>
      <c r="G15" s="475"/>
      <c r="H15" s="467"/>
      <c r="I15" s="467"/>
      <c r="J15" s="467"/>
      <c r="K15" s="467"/>
      <c r="L15" s="467"/>
      <c r="M15" s="467"/>
      <c r="N15" s="467"/>
      <c r="O15" s="467"/>
      <c r="P15" s="467"/>
      <c r="Q15" s="467"/>
      <c r="R15" s="467"/>
      <c r="S15" s="477">
        <f>S14/S16</f>
        <v>1412.9</v>
      </c>
      <c r="T15" s="477">
        <f t="shared" ref="T15:AN15" si="6">T14/T16</f>
        <v>1443.601062446656</v>
      </c>
      <c r="U15" s="477">
        <f t="shared" si="6"/>
        <v>1460.0562632146969</v>
      </c>
      <c r="V15" s="477">
        <f t="shared" si="6"/>
        <v>1456.0736835277405</v>
      </c>
      <c r="W15" s="477">
        <f t="shared" si="6"/>
        <v>1474.9026173326019</v>
      </c>
      <c r="X15" s="477">
        <f t="shared" si="6"/>
        <v>1473.6619479231717</v>
      </c>
      <c r="Y15" s="477">
        <f t="shared" si="6"/>
        <v>1472.330449981227</v>
      </c>
      <c r="Z15" s="477">
        <f t="shared" si="6"/>
        <v>1487.8932094301031</v>
      </c>
      <c r="AA15" s="477">
        <f t="shared" si="6"/>
        <v>1520.0270308686263</v>
      </c>
      <c r="AB15" s="477">
        <f t="shared" si="6"/>
        <v>1535.0260739971839</v>
      </c>
      <c r="AC15" s="477">
        <f t="shared" si="6"/>
        <v>1516.8925565791544</v>
      </c>
      <c r="AD15" s="445">
        <f t="shared" si="6"/>
        <v>1512.7892603467983</v>
      </c>
      <c r="AE15" s="445">
        <f t="shared" si="6"/>
        <v>1511.6813214872168</v>
      </c>
      <c r="AF15" s="445">
        <f t="shared" si="6"/>
        <v>1528.3123565547075</v>
      </c>
      <c r="AG15" s="445">
        <f t="shared" si="6"/>
        <v>1547.5267972723211</v>
      </c>
      <c r="AH15" s="445">
        <f t="shared" si="6"/>
        <v>1550.7889435306226</v>
      </c>
      <c r="AI15" s="445">
        <f t="shared" si="6"/>
        <v>1555.1756418156033</v>
      </c>
      <c r="AJ15" s="445">
        <f t="shared" si="6"/>
        <v>1553.8509131012663</v>
      </c>
      <c r="AK15" s="445">
        <f t="shared" si="6"/>
        <v>1552.5904754555877</v>
      </c>
      <c r="AL15" s="445">
        <f t="shared" si="6"/>
        <v>1552.5355907663541</v>
      </c>
      <c r="AM15" s="445">
        <f t="shared" si="6"/>
        <v>1552.5751326395864</v>
      </c>
      <c r="AN15" s="445">
        <f t="shared" si="6"/>
        <v>1560.0428204475932</v>
      </c>
    </row>
    <row r="16" spans="2:72" ht="17.25" customHeight="1" x14ac:dyDescent="0.35">
      <c r="B16" s="487" t="s">
        <v>97</v>
      </c>
      <c r="C16" s="475"/>
      <c r="D16" s="475"/>
      <c r="E16" s="475"/>
      <c r="F16" s="475"/>
      <c r="G16" s="475"/>
      <c r="H16" s="467"/>
      <c r="I16" s="467"/>
      <c r="J16" s="467"/>
      <c r="K16" s="467"/>
      <c r="L16" s="467"/>
      <c r="M16" s="467"/>
      <c r="N16" s="467"/>
      <c r="O16" s="467"/>
      <c r="P16" s="467"/>
      <c r="Q16" s="467"/>
      <c r="R16" s="467"/>
      <c r="S16" s="477">
        <f>Deflators!S56</f>
        <v>1.1617241135253733</v>
      </c>
      <c r="T16" s="477">
        <f>Deflators!T56</f>
        <v>1.1735929295650571</v>
      </c>
      <c r="U16" s="477">
        <f>Deflators!U56</f>
        <v>1.1859816937379031</v>
      </c>
      <c r="V16" s="477">
        <f>Deflators!V56</f>
        <v>1.1962306713627353</v>
      </c>
      <c r="W16" s="477">
        <f>Deflators!W56</f>
        <v>1.2074695502410877</v>
      </c>
      <c r="X16" s="477">
        <f>Deflators!X56</f>
        <v>1.2188684131604133</v>
      </c>
      <c r="Y16" s="477">
        <f>Deflators!Y56</f>
        <v>1.2295473478953602</v>
      </c>
      <c r="Z16" s="477">
        <f>Deflators!Z56</f>
        <v>1.238126492092537</v>
      </c>
      <c r="AA16" s="477">
        <f>Deflators!AA56</f>
        <v>1.2456357430157068</v>
      </c>
      <c r="AB16" s="477">
        <f>Deflators!AB56</f>
        <v>1.2538549231206941</v>
      </c>
      <c r="AC16" s="477">
        <f>Deflators!AC56</f>
        <v>1.2712831845841894</v>
      </c>
      <c r="AD16" s="445">
        <f>Deflators!AD56</f>
        <v>1.2761181568610405</v>
      </c>
      <c r="AE16" s="445">
        <f>Deflators!AE56</f>
        <v>1.2807916204545795</v>
      </c>
      <c r="AF16" s="445">
        <f>Deflators!AF56</f>
        <v>1.2856056762107679</v>
      </c>
      <c r="AG16" s="445">
        <f>Deflators!AG56</f>
        <v>1.2924657176665473</v>
      </c>
      <c r="AH16" s="445">
        <f>Deflators!AH56</f>
        <v>1.2997677018196903</v>
      </c>
      <c r="AI16" s="445">
        <f>Deflators!AI56</f>
        <v>1.3072618579382902</v>
      </c>
      <c r="AJ16" s="445">
        <f>Deflators!AJ56</f>
        <v>1.3150003910318067</v>
      </c>
      <c r="AK16" s="445">
        <f>Deflators!AK56</f>
        <v>1.3223073912578516</v>
      </c>
      <c r="AL16" s="445">
        <f>Deflators!AL56</f>
        <v>1.3295687503807432</v>
      </c>
      <c r="AM16" s="445">
        <f>Deflators!AM56</f>
        <v>1.3370742921033285</v>
      </c>
      <c r="AN16" s="445">
        <f>Deflators!AN56</f>
        <v>1.3447782104770662</v>
      </c>
    </row>
    <row r="17" spans="2:72" ht="17.25" customHeight="1" x14ac:dyDescent="0.35">
      <c r="B17" s="487"/>
      <c r="C17" s="475"/>
      <c r="D17" s="475"/>
      <c r="E17" s="475"/>
      <c r="F17" s="475"/>
      <c r="G17" s="475"/>
      <c r="H17" s="467"/>
      <c r="I17" s="467"/>
      <c r="J17" s="467"/>
      <c r="K17" s="467"/>
      <c r="L17" s="467"/>
      <c r="M17" s="467"/>
      <c r="N17" s="467"/>
      <c r="O17" s="467"/>
      <c r="P17" s="467"/>
      <c r="Q17" s="467"/>
      <c r="R17" s="467"/>
      <c r="S17" s="477"/>
      <c r="T17" s="444">
        <f>(T16/S16)^4-1</f>
        <v>4.1496756379381328E-2</v>
      </c>
      <c r="U17" s="444">
        <f t="shared" ref="U17:AN17" si="7">(U16/T16)^4-1</f>
        <v>4.2898407970302532E-2</v>
      </c>
      <c r="V17" s="444">
        <f t="shared" si="7"/>
        <v>3.5017736429978852E-2</v>
      </c>
      <c r="W17" s="444">
        <f t="shared" si="7"/>
        <v>3.8113924198168725E-2</v>
      </c>
      <c r="X17" s="444">
        <f t="shared" si="7"/>
        <v>3.8299248311242984E-2</v>
      </c>
      <c r="Y17" s="444">
        <f t="shared" si="7"/>
        <v>3.5508670157945676E-2</v>
      </c>
      <c r="Z17" s="444">
        <f t="shared" si="7"/>
        <v>2.8203399736230539E-2</v>
      </c>
      <c r="AA17" s="444">
        <f t="shared" si="7"/>
        <v>2.4481644318991469E-2</v>
      </c>
      <c r="AB17" s="444">
        <f t="shared" si="7"/>
        <v>2.665590972416565E-2</v>
      </c>
      <c r="AC17" s="444">
        <f t="shared" si="7"/>
        <v>5.6768969247473322E-2</v>
      </c>
      <c r="AD17" s="446">
        <f t="shared" si="7"/>
        <v>1.5299895562953081E-2</v>
      </c>
      <c r="AE17" s="446">
        <f t="shared" si="7"/>
        <v>1.4729668703095777E-2</v>
      </c>
      <c r="AF17" s="446">
        <f t="shared" si="7"/>
        <v>1.5119603614899724E-2</v>
      </c>
      <c r="AG17" s="446">
        <f t="shared" si="7"/>
        <v>2.1515602617293128E-2</v>
      </c>
      <c r="AH17" s="446">
        <f t="shared" si="7"/>
        <v>2.2790850007197161E-2</v>
      </c>
      <c r="AI17" s="446">
        <f t="shared" si="7"/>
        <v>2.3263295207157642E-2</v>
      </c>
      <c r="AJ17" s="446">
        <f t="shared" si="7"/>
        <v>2.3889685874715294E-2</v>
      </c>
      <c r="AK17" s="446">
        <f t="shared" si="7"/>
        <v>2.2412555601408091E-2</v>
      </c>
      <c r="AL17" s="446">
        <f t="shared" si="7"/>
        <v>2.2147320108405477E-2</v>
      </c>
      <c r="AM17" s="446">
        <f t="shared" si="7"/>
        <v>2.2772302614111117E-2</v>
      </c>
      <c r="AN17" s="446">
        <f t="shared" si="7"/>
        <v>2.3247045836330082E-2</v>
      </c>
    </row>
    <row r="18" spans="2:72" ht="17.25" customHeight="1" x14ac:dyDescent="0.35">
      <c r="B18" s="487" t="s">
        <v>1987</v>
      </c>
      <c r="C18" s="475"/>
      <c r="D18" s="475"/>
      <c r="E18" s="475"/>
      <c r="F18" s="475"/>
      <c r="G18" s="475"/>
      <c r="H18" s="467"/>
      <c r="I18" s="467"/>
      <c r="J18" s="467"/>
      <c r="K18" s="467"/>
      <c r="L18" s="467"/>
      <c r="M18" s="467"/>
      <c r="N18" s="467"/>
      <c r="O18" s="467"/>
      <c r="P18" s="467"/>
      <c r="Q18" s="467"/>
      <c r="R18" s="467"/>
      <c r="S18" s="477"/>
      <c r="T18" s="444">
        <f>(T15/S15)^4-1</f>
        <v>8.9790635062496849E-2</v>
      </c>
      <c r="U18" s="444">
        <f t="shared" ref="U18:AN18" si="8">(U15/T15)^4-1</f>
        <v>4.6380395835613042E-2</v>
      </c>
      <c r="V18" s="444">
        <f t="shared" si="8"/>
        <v>-1.0866196156615104E-2</v>
      </c>
      <c r="W18" s="444">
        <f t="shared" si="8"/>
        <v>5.2737211849036569E-2</v>
      </c>
      <c r="X18" s="444">
        <f t="shared" si="8"/>
        <v>-3.360506163529231E-3</v>
      </c>
      <c r="Y18" s="444">
        <f t="shared" si="8"/>
        <v>-3.6092251899172423E-3</v>
      </c>
      <c r="Z18" s="444">
        <f t="shared" si="8"/>
        <v>4.2955720941680875E-2</v>
      </c>
      <c r="AA18" s="444">
        <f t="shared" si="8"/>
        <v>8.9226497214647704E-2</v>
      </c>
      <c r="AB18" s="444">
        <f t="shared" si="8"/>
        <v>4.0058535999288658E-2</v>
      </c>
      <c r="AC18" s="444">
        <f t="shared" si="8"/>
        <v>-4.6421932304233748E-2</v>
      </c>
      <c r="AD18" s="446">
        <f t="shared" si="8"/>
        <v>-1.0776443412396253E-2</v>
      </c>
      <c r="AE18" s="446">
        <f t="shared" si="8"/>
        <v>-2.9263092537322732E-3</v>
      </c>
      <c r="AF18" s="446">
        <f t="shared" si="8"/>
        <v>4.4738285345339746E-2</v>
      </c>
      <c r="AG18" s="446">
        <f t="shared" si="8"/>
        <v>5.1245656921035554E-2</v>
      </c>
      <c r="AH18" s="446">
        <f t="shared" si="8"/>
        <v>8.4585948275532896E-3</v>
      </c>
      <c r="AI18" s="446">
        <f t="shared" si="8"/>
        <v>1.1362851999510815E-2</v>
      </c>
      <c r="AJ18" s="446">
        <f t="shared" si="8"/>
        <v>-3.4029263201793558E-3</v>
      </c>
      <c r="AK18" s="446">
        <f t="shared" si="8"/>
        <v>-3.2407351824179642E-3</v>
      </c>
      <c r="AL18" s="446">
        <f t="shared" si="8"/>
        <v>-1.4139408910862628E-4</v>
      </c>
      <c r="AM18" s="446">
        <f t="shared" si="8"/>
        <v>1.0188077914419225E-4</v>
      </c>
      <c r="AN18" s="446">
        <f t="shared" si="8"/>
        <v>1.9378743241271978E-2</v>
      </c>
    </row>
    <row r="19" spans="2:72" ht="17.25" customHeight="1" x14ac:dyDescent="0.35">
      <c r="B19" s="487" t="s">
        <v>1953</v>
      </c>
      <c r="C19" s="475"/>
      <c r="D19" s="475"/>
      <c r="E19" s="475"/>
      <c r="F19" s="475"/>
      <c r="G19" s="475"/>
      <c r="H19" s="467"/>
      <c r="I19" s="467"/>
      <c r="J19" s="467"/>
      <c r="K19" s="467"/>
      <c r="L19" s="467"/>
      <c r="M19" s="467"/>
      <c r="N19" s="467"/>
      <c r="O19" s="467"/>
      <c r="P19" s="467"/>
      <c r="Q19" s="467"/>
      <c r="R19" s="467"/>
      <c r="S19" s="477"/>
      <c r="T19" s="477"/>
      <c r="U19" s="477"/>
      <c r="V19" s="477"/>
      <c r="W19" s="477"/>
      <c r="X19" s="477"/>
      <c r="Y19" s="477"/>
      <c r="Z19" s="477"/>
      <c r="AA19" s="477"/>
      <c r="AB19" s="477"/>
      <c r="AC19" s="477"/>
      <c r="AD19" s="469">
        <f>-6</f>
        <v>-6</v>
      </c>
      <c r="AE19" s="469"/>
      <c r="AF19" s="469"/>
      <c r="AG19" s="469"/>
      <c r="AH19" s="469"/>
      <c r="AI19" s="469"/>
      <c r="AJ19" s="469"/>
      <c r="AK19" s="469"/>
      <c r="AL19" s="469"/>
      <c r="AM19" s="469"/>
      <c r="AN19" s="469"/>
    </row>
    <row r="20" spans="2:72" x14ac:dyDescent="0.35">
      <c r="B20" s="484" t="s">
        <v>386</v>
      </c>
      <c r="C20" s="485"/>
      <c r="D20" s="485"/>
      <c r="E20" s="485"/>
      <c r="F20" s="485"/>
      <c r="G20" s="485"/>
      <c r="H20" s="465">
        <f t="shared" ref="H20:AC20" si="9">H14+H58</f>
        <v>1721.212</v>
      </c>
      <c r="I20" s="465">
        <f t="shared" si="9"/>
        <v>1747.059</v>
      </c>
      <c r="J20" s="465">
        <f t="shared" si="9"/>
        <v>1964.3780000000002</v>
      </c>
      <c r="K20" s="465">
        <f t="shared" si="9"/>
        <v>1901.364</v>
      </c>
      <c r="L20" s="465">
        <f t="shared" si="9"/>
        <v>1907.3589999999999</v>
      </c>
      <c r="M20" s="465">
        <f t="shared" si="9"/>
        <v>2004.8540000000003</v>
      </c>
      <c r="N20" s="465">
        <f t="shared" si="9"/>
        <v>2026.6750000000002</v>
      </c>
      <c r="O20" s="465">
        <f t="shared" si="9"/>
        <v>2028.4519999999998</v>
      </c>
      <c r="P20" s="465">
        <f t="shared" si="9"/>
        <v>2089.0478520000001</v>
      </c>
      <c r="Q20" s="465">
        <f t="shared" si="9"/>
        <v>2112.3222747999998</v>
      </c>
      <c r="R20" s="465">
        <f t="shared" si="9"/>
        <v>2197.6360319999999</v>
      </c>
      <c r="S20" s="465">
        <f t="shared" si="9"/>
        <v>2199.7388679999999</v>
      </c>
      <c r="T20" s="465">
        <f t="shared" si="9"/>
        <v>2220.3329279999998</v>
      </c>
      <c r="U20" s="466">
        <f t="shared" si="9"/>
        <v>2248.6365432000002</v>
      </c>
      <c r="V20" s="466">
        <f t="shared" si="9"/>
        <v>2251.6037200000001</v>
      </c>
      <c r="W20" s="466">
        <f t="shared" si="9"/>
        <v>2274.603944</v>
      </c>
      <c r="X20" s="466">
        <f t="shared" si="9"/>
        <v>2306.1809440000002</v>
      </c>
      <c r="Y20" s="486">
        <f t="shared" si="9"/>
        <v>2322.6879440000002</v>
      </c>
      <c r="Z20" s="486">
        <f t="shared" si="9"/>
        <v>2360.4781090000001</v>
      </c>
      <c r="AA20" s="486">
        <f t="shared" si="9"/>
        <v>2433.0083300000001</v>
      </c>
      <c r="AB20" s="486">
        <f t="shared" si="9"/>
        <v>2467.5163256999999</v>
      </c>
      <c r="AC20" s="468">
        <f t="shared" si="9"/>
        <v>2432.2299969999999</v>
      </c>
      <c r="AD20" s="468"/>
      <c r="AE20" s="468"/>
      <c r="AF20" s="468"/>
      <c r="AG20" s="468"/>
      <c r="AH20" s="468"/>
      <c r="AI20" s="468"/>
      <c r="AJ20" s="468"/>
      <c r="AK20" s="468"/>
      <c r="AL20" s="468"/>
      <c r="AM20" s="468"/>
      <c r="AN20" s="468"/>
      <c r="AO20" s="245" t="s">
        <v>387</v>
      </c>
    </row>
    <row r="21" spans="2:72" ht="15.75" customHeight="1" x14ac:dyDescent="0.35">
      <c r="B21" s="253"/>
      <c r="C21" s="253"/>
      <c r="D21" s="253"/>
      <c r="E21" s="253"/>
      <c r="F21" s="253"/>
      <c r="G21" s="253"/>
      <c r="H21" s="242"/>
      <c r="I21" s="242"/>
      <c r="J21" s="242"/>
      <c r="K21" s="242"/>
      <c r="L21" s="242"/>
      <c r="M21" s="242"/>
      <c r="N21" s="242"/>
      <c r="O21" s="242"/>
      <c r="Y21" s="75"/>
      <c r="Z21" s="75"/>
      <c r="AA21" s="75"/>
      <c r="AB21" s="75"/>
      <c r="AC21" s="493"/>
      <c r="AD21" s="75"/>
      <c r="AE21" s="75"/>
      <c r="AF21" s="75"/>
      <c r="AG21" s="75"/>
      <c r="AH21" s="75"/>
      <c r="AI21" s="245"/>
    </row>
    <row r="22" spans="2:72" x14ac:dyDescent="0.35">
      <c r="B22" s="253"/>
      <c r="C22" s="253"/>
      <c r="D22" s="253"/>
      <c r="E22" s="253"/>
      <c r="F22" s="253"/>
      <c r="G22" s="253"/>
      <c r="H22" s="242"/>
      <c r="I22" s="242"/>
      <c r="J22" s="242"/>
      <c r="K22" s="242"/>
      <c r="L22" s="242"/>
      <c r="M22" s="242"/>
      <c r="N22" s="242"/>
      <c r="O22" s="242"/>
      <c r="P22" s="493"/>
      <c r="Q22" s="493"/>
      <c r="R22" s="493"/>
      <c r="S22" s="493"/>
      <c r="T22" s="493"/>
      <c r="U22" s="493"/>
      <c r="V22" s="493"/>
      <c r="W22" s="493"/>
      <c r="X22" s="493"/>
      <c r="Y22" s="493"/>
      <c r="Z22" s="493"/>
      <c r="AA22" s="493"/>
      <c r="AB22" s="493"/>
      <c r="AD22" s="493"/>
      <c r="AE22" s="493"/>
      <c r="AF22" s="493"/>
      <c r="AG22" s="493"/>
      <c r="AH22" s="493"/>
    </row>
    <row r="23" spans="2:72" ht="21.75" customHeight="1" x14ac:dyDescent="0.35">
      <c r="B23" s="1253" t="s">
        <v>165</v>
      </c>
      <c r="C23" s="1253"/>
      <c r="D23" s="1253"/>
      <c r="E23" s="1253"/>
      <c r="F23" s="1253"/>
      <c r="G23" s="1253"/>
      <c r="H23" s="1253"/>
      <c r="I23" s="1253"/>
      <c r="J23" s="1253"/>
      <c r="K23" s="1253"/>
      <c r="L23" s="1253"/>
      <c r="M23" s="1253"/>
      <c r="N23" s="1253"/>
      <c r="O23" s="1253"/>
      <c r="P23" s="1253"/>
      <c r="Q23" s="1253"/>
      <c r="R23" s="1253"/>
      <c r="S23" s="1253"/>
      <c r="T23" s="1253"/>
      <c r="U23" s="1253"/>
      <c r="V23" s="1253"/>
      <c r="W23" s="1253"/>
      <c r="X23" s="1253"/>
      <c r="Y23" s="1253"/>
      <c r="Z23" s="1253"/>
      <c r="AA23" s="1253"/>
      <c r="AB23" s="1253"/>
      <c r="AC23" s="1253"/>
      <c r="AD23" s="219"/>
      <c r="AE23" s="219"/>
      <c r="AF23" s="219"/>
      <c r="AG23" s="219"/>
      <c r="AH23" s="219"/>
      <c r="AJ23" s="443"/>
    </row>
    <row r="24" spans="2:72" ht="14.25" customHeight="1" x14ac:dyDescent="0.35">
      <c r="B24" s="1346" t="s">
        <v>388</v>
      </c>
      <c r="C24" s="1346"/>
      <c r="D24" s="1346"/>
      <c r="E24" s="1346"/>
      <c r="F24" s="1346"/>
      <c r="G24" s="1346"/>
      <c r="H24" s="1346"/>
      <c r="I24" s="1346"/>
      <c r="J24" s="1346"/>
      <c r="K24" s="1346"/>
      <c r="L24" s="1346"/>
      <c r="M24" s="1346"/>
      <c r="N24" s="1346"/>
      <c r="O24" s="1346"/>
      <c r="P24" s="1346"/>
      <c r="Q24" s="1346"/>
      <c r="R24" s="1346"/>
      <c r="S24" s="1346"/>
      <c r="T24" s="1346"/>
      <c r="U24" s="1346"/>
      <c r="V24" s="1346"/>
      <c r="W24" s="1346"/>
      <c r="X24" s="1346"/>
      <c r="Y24" s="1346"/>
      <c r="Z24" s="1346"/>
      <c r="AA24" s="1346"/>
      <c r="AB24" s="1346"/>
      <c r="AC24" s="1346"/>
      <c r="AD24" s="220"/>
      <c r="AE24" s="220"/>
      <c r="AF24" s="220"/>
      <c r="AG24" s="220"/>
      <c r="AH24" s="220"/>
      <c r="AJ24" s="443"/>
    </row>
    <row r="25" spans="2:72" x14ac:dyDescent="0.35">
      <c r="B25" s="1346"/>
      <c r="C25" s="1346"/>
      <c r="D25" s="1346"/>
      <c r="E25" s="1346"/>
      <c r="F25" s="1346"/>
      <c r="G25" s="1346"/>
      <c r="H25" s="1346"/>
      <c r="I25" s="1346"/>
      <c r="J25" s="1346"/>
      <c r="K25" s="1346"/>
      <c r="L25" s="1346"/>
      <c r="M25" s="1346"/>
      <c r="N25" s="1346"/>
      <c r="O25" s="1346"/>
      <c r="P25" s="1346"/>
      <c r="Q25" s="1346"/>
      <c r="R25" s="1346"/>
      <c r="S25" s="1346"/>
      <c r="T25" s="1346"/>
      <c r="U25" s="1346"/>
      <c r="V25" s="1346"/>
      <c r="W25" s="1346"/>
      <c r="X25" s="1346"/>
      <c r="Y25" s="1346"/>
      <c r="Z25" s="1346"/>
      <c r="AA25" s="1346"/>
      <c r="AB25" s="1346"/>
      <c r="AC25" s="1346"/>
      <c r="AD25" s="220"/>
      <c r="AE25" s="220"/>
      <c r="AF25" s="220"/>
      <c r="AG25" s="220"/>
      <c r="AH25" s="220"/>
    </row>
    <row r="26" spans="2:72" x14ac:dyDescent="0.35">
      <c r="B26" s="1346"/>
      <c r="C26" s="1346"/>
      <c r="D26" s="1346"/>
      <c r="E26" s="1346"/>
      <c r="F26" s="1346"/>
      <c r="G26" s="1346"/>
      <c r="H26" s="1346"/>
      <c r="I26" s="1346"/>
      <c r="J26" s="1346"/>
      <c r="K26" s="1346"/>
      <c r="L26" s="1346"/>
      <c r="M26" s="1346"/>
      <c r="N26" s="1346"/>
      <c r="O26" s="1346"/>
      <c r="P26" s="1346"/>
      <c r="Q26" s="1346"/>
      <c r="R26" s="1346"/>
      <c r="S26" s="1346"/>
      <c r="T26" s="1346"/>
      <c r="U26" s="1346"/>
      <c r="V26" s="1346"/>
      <c r="W26" s="1346"/>
      <c r="X26" s="1346"/>
      <c r="Y26" s="1346"/>
      <c r="Z26" s="1346"/>
      <c r="AA26" s="1346"/>
      <c r="AB26" s="1346"/>
      <c r="AC26" s="1346"/>
      <c r="AD26" s="220"/>
      <c r="AE26" s="220"/>
      <c r="AF26" s="220"/>
      <c r="AG26" s="220"/>
      <c r="AH26" s="220"/>
    </row>
    <row r="28" spans="2:72" x14ac:dyDescent="0.35">
      <c r="B28" s="1256" t="s">
        <v>278</v>
      </c>
      <c r="C28" s="1273"/>
      <c r="D28" s="1260" t="s">
        <v>279</v>
      </c>
      <c r="E28" s="1260"/>
      <c r="F28" s="1260"/>
      <c r="G28" s="1260"/>
      <c r="H28" s="1260"/>
      <c r="I28" s="1260"/>
      <c r="J28" s="1260"/>
      <c r="K28" s="1260"/>
      <c r="L28" s="1260"/>
      <c r="M28" s="1260"/>
      <c r="N28" s="1260"/>
      <c r="O28" s="1260"/>
      <c r="P28" s="1260"/>
      <c r="Q28" s="1260"/>
      <c r="R28" s="1260"/>
      <c r="S28" s="1260"/>
      <c r="T28" s="1260"/>
      <c r="U28" s="1260"/>
      <c r="V28" s="1260"/>
      <c r="W28" s="1260"/>
      <c r="X28" s="1260"/>
      <c r="Y28" s="1260"/>
      <c r="Z28" s="1260"/>
      <c r="AA28" s="1260"/>
      <c r="AB28" s="1260"/>
      <c r="AC28" s="1262" t="s">
        <v>280</v>
      </c>
      <c r="AD28" s="1262"/>
      <c r="AE28" s="1262"/>
      <c r="AF28" s="1262"/>
      <c r="AG28" s="1262"/>
      <c r="AH28" s="1262"/>
      <c r="AI28" s="1262"/>
      <c r="AJ28" s="1262"/>
      <c r="AK28" s="1262"/>
      <c r="AL28" s="1262"/>
      <c r="AM28" s="1262"/>
      <c r="AN28" s="1263"/>
    </row>
    <row r="29" spans="2:72" x14ac:dyDescent="0.35">
      <c r="B29" s="1258"/>
      <c r="C29" s="1350"/>
      <c r="D29" s="221">
        <v>2018</v>
      </c>
      <c r="E29" s="1347">
        <v>2019</v>
      </c>
      <c r="F29" s="1348"/>
      <c r="G29" s="1348"/>
      <c r="H29" s="1349"/>
      <c r="I29" s="1347">
        <v>2020</v>
      </c>
      <c r="J29" s="1348"/>
      <c r="K29" s="1348"/>
      <c r="L29" s="1348"/>
      <c r="M29" s="1347">
        <v>2021</v>
      </c>
      <c r="N29" s="1348"/>
      <c r="O29" s="1348"/>
      <c r="P29" s="1348"/>
      <c r="Q29" s="1347">
        <v>2022</v>
      </c>
      <c r="R29" s="1348"/>
      <c r="S29" s="1348"/>
      <c r="T29" s="1349"/>
      <c r="U29" s="1347">
        <v>2023</v>
      </c>
      <c r="V29" s="1348"/>
      <c r="W29" s="1348"/>
      <c r="X29" s="1349"/>
      <c r="Y29" s="289"/>
      <c r="Z29" s="227">
        <v>2024</v>
      </c>
      <c r="AA29" s="227"/>
      <c r="AB29" s="226"/>
      <c r="AC29" s="1270">
        <v>2025</v>
      </c>
      <c r="AD29" s="1271"/>
      <c r="AE29" s="1271"/>
      <c r="AF29" s="1271"/>
      <c r="AG29" s="1270">
        <v>2026</v>
      </c>
      <c r="AH29" s="1271"/>
      <c r="AI29" s="1271"/>
      <c r="AJ29" s="1272"/>
      <c r="AK29" s="1270">
        <v>2027</v>
      </c>
      <c r="AL29" s="1271"/>
      <c r="AM29" s="1271"/>
      <c r="AN29" s="1272"/>
    </row>
    <row r="30" spans="2:72" x14ac:dyDescent="0.35">
      <c r="B30" s="1258"/>
      <c r="C30" s="1350"/>
      <c r="D30" s="221" t="s">
        <v>281</v>
      </c>
      <c r="E30" s="221" t="s">
        <v>282</v>
      </c>
      <c r="F30" s="222" t="s">
        <v>283</v>
      </c>
      <c r="G30" s="222" t="s">
        <v>238</v>
      </c>
      <c r="H30" s="228" t="s">
        <v>281</v>
      </c>
      <c r="I30" s="222" t="s">
        <v>282</v>
      </c>
      <c r="J30" s="222" t="s">
        <v>283</v>
      </c>
      <c r="K30" s="222" t="s">
        <v>238</v>
      </c>
      <c r="L30" s="222" t="s">
        <v>281</v>
      </c>
      <c r="M30" s="221" t="s">
        <v>282</v>
      </c>
      <c r="N30" s="222" t="s">
        <v>283</v>
      </c>
      <c r="O30" s="222" t="s">
        <v>238</v>
      </c>
      <c r="P30" s="222" t="s">
        <v>281</v>
      </c>
      <c r="Q30" s="221" t="s">
        <v>282</v>
      </c>
      <c r="R30" s="222" t="s">
        <v>283</v>
      </c>
      <c r="S30" s="222" t="s">
        <v>238</v>
      </c>
      <c r="T30" s="228" t="s">
        <v>281</v>
      </c>
      <c r="U30" s="282" t="s">
        <v>282</v>
      </c>
      <c r="V30" s="283" t="s">
        <v>283</v>
      </c>
      <c r="W30" s="283" t="s">
        <v>238</v>
      </c>
      <c r="X30" s="281" t="s">
        <v>281</v>
      </c>
      <c r="Y30" s="282" t="s">
        <v>282</v>
      </c>
      <c r="Z30" s="288" t="s">
        <v>283</v>
      </c>
      <c r="AA30" s="283" t="s">
        <v>238</v>
      </c>
      <c r="AB30" s="281" t="s">
        <v>281</v>
      </c>
      <c r="AC30" s="282" t="s">
        <v>282</v>
      </c>
      <c r="AD30" s="267" t="s">
        <v>283</v>
      </c>
      <c r="AE30" s="269" t="s">
        <v>238</v>
      </c>
      <c r="AF30" s="269" t="s">
        <v>281</v>
      </c>
      <c r="AG30" s="232" t="s">
        <v>282</v>
      </c>
      <c r="AH30" s="267" t="s">
        <v>283</v>
      </c>
      <c r="AI30" s="267" t="s">
        <v>238</v>
      </c>
      <c r="AJ30" s="286" t="s">
        <v>281</v>
      </c>
      <c r="AK30" s="232" t="s">
        <v>282</v>
      </c>
      <c r="AL30" s="267" t="s">
        <v>283</v>
      </c>
      <c r="AM30" s="267" t="s">
        <v>238</v>
      </c>
      <c r="AN30" s="286" t="s">
        <v>281</v>
      </c>
    </row>
    <row r="31" spans="2:72" x14ac:dyDescent="0.35">
      <c r="B31" s="497" t="s">
        <v>111</v>
      </c>
      <c r="C31" s="491" t="s">
        <v>389</v>
      </c>
      <c r="D31" s="317"/>
      <c r="E31" s="317"/>
      <c r="F31" s="317"/>
      <c r="G31" s="317"/>
      <c r="H31" s="472">
        <f>'Haver Pivoted'!GS24</f>
        <v>2425.1</v>
      </c>
      <c r="I31" s="472">
        <f>'Haver Pivoted'!GT24</f>
        <v>2483.6999999999998</v>
      </c>
      <c r="J31" s="472">
        <f>'Haver Pivoted'!GU24</f>
        <v>2458.1999999999998</v>
      </c>
      <c r="K31" s="472">
        <f>'Haver Pivoted'!GV24</f>
        <v>2475.1</v>
      </c>
      <c r="L31" s="472">
        <f>'Haver Pivoted'!GW24</f>
        <v>2489.4</v>
      </c>
      <c r="M31" s="472">
        <f>'Haver Pivoted'!GX24</f>
        <v>2534.1999999999998</v>
      </c>
      <c r="N31" s="472">
        <f>'Haver Pivoted'!GY24</f>
        <v>2572.6</v>
      </c>
      <c r="O31" s="472">
        <f>'Haver Pivoted'!GZ24</f>
        <v>2629</v>
      </c>
      <c r="P31" s="472">
        <f>'Haver Pivoted'!HA24</f>
        <v>2665.4</v>
      </c>
      <c r="Q31" s="472">
        <f>'Haver Pivoted'!HB24</f>
        <v>2726.1</v>
      </c>
      <c r="R31" s="472">
        <f>'Haver Pivoted'!HC24</f>
        <v>2815.5</v>
      </c>
      <c r="S31" s="481">
        <f>'Haver Pivoted'!HD24</f>
        <v>2838.7</v>
      </c>
      <c r="T31" s="481">
        <f>'Haver Pivoted'!HE24</f>
        <v>2870.6</v>
      </c>
      <c r="U31" s="303">
        <f>'Haver Pivoted'!HF24</f>
        <v>2893</v>
      </c>
      <c r="V31" s="303">
        <f>'Haver Pivoted'!HG24</f>
        <v>2904.1</v>
      </c>
      <c r="W31" s="303">
        <f>'Haver Pivoted'!HH24</f>
        <v>2975.5</v>
      </c>
      <c r="X31" s="303">
        <f>'Haver Pivoted'!HI24</f>
        <v>3019</v>
      </c>
      <c r="Y31" s="303">
        <f>'Haver Pivoted'!HJ24</f>
        <v>3070.7</v>
      </c>
      <c r="Z31" s="303">
        <f>'Haver Pivoted'!HK24</f>
        <v>3100.9</v>
      </c>
      <c r="AA31" s="303">
        <f>'Haver Pivoted'!HL24</f>
        <v>3141.6</v>
      </c>
      <c r="AB31" s="303">
        <f>'Haver Pivoted'!HM24</f>
        <v>3175</v>
      </c>
      <c r="AC31" s="303">
        <f>'Haver Pivoted'!HN24</f>
        <v>3221.5</v>
      </c>
      <c r="AD31" s="231"/>
      <c r="AE31" s="231"/>
      <c r="AF31" s="231"/>
      <c r="AG31" s="231"/>
      <c r="AH31" s="231"/>
      <c r="AI31" s="231"/>
      <c r="AJ31" s="231"/>
      <c r="AK31" s="231"/>
      <c r="AL31" s="231"/>
      <c r="AM31" s="231"/>
      <c r="AN31" s="231"/>
    </row>
    <row r="32" spans="2:72" ht="29.25" customHeight="1" x14ac:dyDescent="0.35">
      <c r="B32" s="500" t="s">
        <v>1962</v>
      </c>
      <c r="C32" s="230"/>
      <c r="D32" s="229"/>
      <c r="E32" s="229"/>
      <c r="F32" s="229"/>
      <c r="G32" s="229"/>
      <c r="H32" s="242"/>
      <c r="I32" s="242"/>
      <c r="J32" s="242"/>
      <c r="K32" s="242"/>
      <c r="L32" s="242"/>
      <c r="M32" s="438">
        <v>2533.9</v>
      </c>
      <c r="N32" s="438">
        <v>2571.6999999999998</v>
      </c>
      <c r="O32" s="438">
        <v>2625.1</v>
      </c>
      <c r="P32" s="438">
        <v>2664.2</v>
      </c>
      <c r="Q32" s="438">
        <v>2726.1</v>
      </c>
      <c r="R32" s="438">
        <v>2815.5</v>
      </c>
      <c r="S32" s="438">
        <v>2838.7</v>
      </c>
      <c r="T32" s="438">
        <v>2870.6</v>
      </c>
      <c r="U32" s="438">
        <v>2893</v>
      </c>
      <c r="V32" s="438">
        <v>2904.1</v>
      </c>
      <c r="W32" s="438">
        <v>2975.5</v>
      </c>
      <c r="X32" s="438">
        <v>3019</v>
      </c>
      <c r="Y32" s="438">
        <v>3070.7</v>
      </c>
      <c r="Z32" s="438">
        <v>3100.9</v>
      </c>
      <c r="AA32" s="438">
        <v>3139.2</v>
      </c>
      <c r="AB32" s="438">
        <v>3171.3</v>
      </c>
      <c r="AC32" s="438">
        <v>3201.4</v>
      </c>
      <c r="AD32" s="438">
        <v>3227.6</v>
      </c>
      <c r="AE32" s="438">
        <v>3257.1</v>
      </c>
      <c r="AF32" s="438">
        <v>3287.7</v>
      </c>
      <c r="AG32" s="438">
        <v>3319.2</v>
      </c>
      <c r="AH32" s="438">
        <v>3348.5</v>
      </c>
      <c r="AI32" s="438">
        <v>3378.4</v>
      </c>
      <c r="AJ32" s="438">
        <v>3407.6</v>
      </c>
      <c r="AK32" s="438">
        <v>3436.1</v>
      </c>
      <c r="AL32" s="438">
        <v>3465.5</v>
      </c>
      <c r="AM32" s="438">
        <v>3495</v>
      </c>
      <c r="AN32" s="438">
        <v>3524.3</v>
      </c>
      <c r="AO32" s="456">
        <v>3553.2</v>
      </c>
      <c r="AP32" s="456">
        <v>3582.3</v>
      </c>
      <c r="AQ32" s="456">
        <v>3611.3</v>
      </c>
      <c r="AR32" s="456">
        <v>3640.4</v>
      </c>
      <c r="AS32" s="456">
        <v>3669.2</v>
      </c>
      <c r="AT32" s="456">
        <v>3698.1</v>
      </c>
      <c r="AU32" s="456">
        <v>3727.3</v>
      </c>
      <c r="AV32" s="456">
        <v>3756.6</v>
      </c>
      <c r="AW32" s="456">
        <v>3785.8</v>
      </c>
      <c r="AX32" s="456">
        <v>3815.2</v>
      </c>
      <c r="AY32" s="456">
        <v>3845</v>
      </c>
      <c r="AZ32" s="456">
        <v>3874.9</v>
      </c>
      <c r="BA32" s="456">
        <v>3905.2</v>
      </c>
      <c r="BB32" s="456">
        <v>3935.8</v>
      </c>
      <c r="BC32" s="456">
        <v>3966.6</v>
      </c>
      <c r="BD32" s="456">
        <v>3997.8</v>
      </c>
      <c r="BE32" s="456">
        <v>4029.2</v>
      </c>
      <c r="BF32" s="456">
        <v>4060.9</v>
      </c>
      <c r="BG32" s="456">
        <v>4092.8</v>
      </c>
      <c r="BH32" s="456">
        <v>4125</v>
      </c>
      <c r="BI32" s="456">
        <v>4157.3999999999996</v>
      </c>
      <c r="BJ32" s="456">
        <v>4190</v>
      </c>
      <c r="BK32" s="456">
        <v>4222.8</v>
      </c>
      <c r="BL32" s="456">
        <v>4255.8</v>
      </c>
      <c r="BM32" s="456">
        <v>4289</v>
      </c>
      <c r="BN32" s="456">
        <v>4322.3</v>
      </c>
      <c r="BO32" s="456">
        <v>4355.7</v>
      </c>
      <c r="BP32" s="456">
        <v>4389</v>
      </c>
      <c r="BQ32" s="456">
        <v>4422.3999999999996</v>
      </c>
      <c r="BR32">
        <v>4456</v>
      </c>
      <c r="BS32">
        <v>4489.8</v>
      </c>
      <c r="BT32">
        <v>4524</v>
      </c>
    </row>
    <row r="33" spans="2:72" ht="29.25" customHeight="1" x14ac:dyDescent="0.35">
      <c r="B33" s="500" t="s">
        <v>1963</v>
      </c>
      <c r="C33" s="230"/>
      <c r="D33" s="229"/>
      <c r="E33" s="229"/>
      <c r="F33" s="229"/>
      <c r="G33" s="229"/>
      <c r="H33" s="242"/>
      <c r="I33" s="503"/>
      <c r="J33" s="503"/>
      <c r="K33" s="503"/>
      <c r="L33" s="503"/>
      <c r="M33" s="503">
        <v>7.7759999999999998</v>
      </c>
      <c r="N33" s="503">
        <v>6.1050000000000004</v>
      </c>
      <c r="O33" s="503">
        <v>8.5640000000000001</v>
      </c>
      <c r="P33" s="503">
        <v>6.0890000000000004</v>
      </c>
      <c r="Q33" s="503">
        <v>9.4320000000000004</v>
      </c>
      <c r="R33" s="503">
        <v>13.778</v>
      </c>
      <c r="S33" s="503">
        <v>3.327</v>
      </c>
      <c r="T33" s="503">
        <v>4.5739999999999998</v>
      </c>
      <c r="U33" s="503">
        <v>3.1539999999999999</v>
      </c>
      <c r="V33" s="503">
        <v>1.5509999999999999</v>
      </c>
      <c r="W33" s="503">
        <v>10.202999999999999</v>
      </c>
      <c r="X33" s="503">
        <v>5.9690000000000003</v>
      </c>
      <c r="Y33" s="503">
        <v>7.032</v>
      </c>
      <c r="Z33" s="503">
        <v>3.9870000000000001</v>
      </c>
      <c r="AA33" s="503">
        <v>5.0410000000000004</v>
      </c>
      <c r="AB33" s="503">
        <v>4.1500000000000004</v>
      </c>
      <c r="AC33" s="503">
        <v>3.847</v>
      </c>
      <c r="AD33" s="503">
        <v>3.3180000000000001</v>
      </c>
      <c r="AE33" s="503">
        <v>3.706</v>
      </c>
      <c r="AF33" s="503">
        <v>3.8109999999999999</v>
      </c>
      <c r="AG33" s="503">
        <v>3.8839999999999999</v>
      </c>
      <c r="AH33" s="503">
        <v>3.5830000000000002</v>
      </c>
      <c r="AI33" s="503">
        <v>3.6190000000000002</v>
      </c>
      <c r="AJ33" s="503">
        <v>3.4990000000000001</v>
      </c>
      <c r="AK33" s="503">
        <v>3.3919999999999999</v>
      </c>
      <c r="AL33" s="503">
        <v>3.4580000000000002</v>
      </c>
      <c r="AM33" s="503">
        <v>3.4540000000000002</v>
      </c>
      <c r="AN33" s="503">
        <v>3.3879999999999999</v>
      </c>
      <c r="AO33" s="234">
        <v>3.3220000000000001</v>
      </c>
      <c r="AP33" s="234">
        <v>3.3210000000000002</v>
      </c>
      <c r="AQ33" s="234">
        <v>3.2770000000000001</v>
      </c>
      <c r="AR33" s="234">
        <v>3.258</v>
      </c>
      <c r="AS33" s="234">
        <v>3.2040000000000002</v>
      </c>
      <c r="AT33" s="234">
        <v>3.1819999999999999</v>
      </c>
      <c r="AU33" s="234">
        <v>3.1970000000000001</v>
      </c>
      <c r="AV33" s="234">
        <v>3.1829999999999998</v>
      </c>
      <c r="AW33" s="234">
        <v>3.1469999999999998</v>
      </c>
      <c r="AX33" s="234">
        <v>3.1389999999999998</v>
      </c>
      <c r="AY33" s="234">
        <v>3.161</v>
      </c>
      <c r="AZ33" s="234">
        <v>3.1440000000000001</v>
      </c>
      <c r="BA33" s="234">
        <v>3.1659999999999999</v>
      </c>
      <c r="BB33" s="234">
        <v>3.17</v>
      </c>
      <c r="BC33" s="234">
        <v>3.1749999999999998</v>
      </c>
      <c r="BD33" s="234">
        <v>3.177</v>
      </c>
      <c r="BE33" s="234">
        <v>3.1829999999999998</v>
      </c>
      <c r="BF33" s="234">
        <v>3.181</v>
      </c>
      <c r="BG33" s="234">
        <v>3.1789999999999998</v>
      </c>
      <c r="BH33" s="234">
        <v>3.18</v>
      </c>
      <c r="BI33" s="234">
        <v>3.181</v>
      </c>
      <c r="BJ33" s="234">
        <v>3.1720000000000002</v>
      </c>
      <c r="BK33" s="234">
        <v>3.1659999999999999</v>
      </c>
      <c r="BL33" s="234">
        <v>3.161</v>
      </c>
      <c r="BM33" s="234">
        <v>3.1589999999999998</v>
      </c>
      <c r="BN33" s="234">
        <v>3.1469999999999998</v>
      </c>
      <c r="BO33" s="234">
        <v>3.1190000000000002</v>
      </c>
      <c r="BP33" s="234">
        <v>3.0939999999999999</v>
      </c>
      <c r="BQ33" s="234">
        <v>3.0779999999999998</v>
      </c>
      <c r="BR33">
        <v>3.0720000000000001</v>
      </c>
      <c r="BS33">
        <v>3.0760000000000001</v>
      </c>
      <c r="BT33">
        <v>3.08</v>
      </c>
    </row>
    <row r="34" spans="2:72" ht="21" customHeight="1" x14ac:dyDescent="0.35">
      <c r="B34" s="488" t="s">
        <v>1911</v>
      </c>
      <c r="C34" s="253"/>
      <c r="D34" s="241"/>
      <c r="E34" s="241"/>
      <c r="F34" s="241"/>
      <c r="G34" s="241"/>
      <c r="H34" s="237"/>
      <c r="I34" s="237"/>
      <c r="J34" s="237"/>
      <c r="K34" s="237"/>
      <c r="L34" s="237"/>
      <c r="M34" s="237">
        <f t="shared" ref="M34:V34" si="10">((M31/L31)^4-1)*100</f>
        <v>7.3951837662748376</v>
      </c>
      <c r="N34" s="237">
        <f t="shared" si="10"/>
        <v>6.2002440796854685</v>
      </c>
      <c r="O34" s="237">
        <f t="shared" si="10"/>
        <v>9.061956208359101</v>
      </c>
      <c r="P34" s="237">
        <f t="shared" si="10"/>
        <v>5.654312677598905</v>
      </c>
      <c r="Q34" s="237">
        <f t="shared" si="10"/>
        <v>9.4252525319924239</v>
      </c>
      <c r="R34" s="237">
        <f t="shared" si="10"/>
        <v>13.777135506982653</v>
      </c>
      <c r="S34" s="237">
        <f t="shared" si="10"/>
        <v>3.3370035827759992</v>
      </c>
      <c r="T34" s="237">
        <f t="shared" si="10"/>
        <v>4.5713539197219211</v>
      </c>
      <c r="U34" s="237">
        <f t="shared" si="10"/>
        <v>3.1580235074152974</v>
      </c>
      <c r="V34" s="237">
        <f t="shared" si="10"/>
        <v>1.5435944799445434</v>
      </c>
      <c r="W34" s="461">
        <f t="shared" ref="W34:AA34" si="11">((W31/V31)^4-1)*100</f>
        <v>10.203033975028175</v>
      </c>
      <c r="X34" s="461">
        <f t="shared" si="11"/>
        <v>5.977247036875788</v>
      </c>
      <c r="Y34" s="461">
        <f t="shared" si="11"/>
        <v>7.0279245631410303</v>
      </c>
      <c r="Z34" s="461">
        <f t="shared" si="11"/>
        <v>3.9923729240887385</v>
      </c>
      <c r="AA34" s="461">
        <f t="shared" si="11"/>
        <v>5.3543589589983842</v>
      </c>
      <c r="AB34" s="461">
        <f>((AB31/AA31)^4-1)*100</f>
        <v>4.3209096808045411</v>
      </c>
      <c r="AC34" s="461">
        <f>((AC31/AB31)^4-1)*100</f>
        <v>5.9882262675863496</v>
      </c>
      <c r="AD34" s="231">
        <f t="shared" ref="AD34" si="12">AD33</f>
        <v>3.3180000000000001</v>
      </c>
      <c r="AE34" s="231">
        <f t="shared" ref="AE34:AJ34" si="13">AE33</f>
        <v>3.706</v>
      </c>
      <c r="AF34" s="231">
        <f t="shared" si="13"/>
        <v>3.8109999999999999</v>
      </c>
      <c r="AG34" s="231">
        <f t="shared" si="13"/>
        <v>3.8839999999999999</v>
      </c>
      <c r="AH34" s="231">
        <f t="shared" si="13"/>
        <v>3.5830000000000002</v>
      </c>
      <c r="AI34" s="231">
        <f t="shared" si="13"/>
        <v>3.6190000000000002</v>
      </c>
      <c r="AJ34" s="231">
        <f t="shared" si="13"/>
        <v>3.4990000000000001</v>
      </c>
      <c r="AK34" s="231">
        <f t="shared" ref="AK34:AN34" si="14">AK33</f>
        <v>3.3919999999999999</v>
      </c>
      <c r="AL34" s="231">
        <f t="shared" si="14"/>
        <v>3.4580000000000002</v>
      </c>
      <c r="AM34" s="231">
        <f t="shared" si="14"/>
        <v>3.4540000000000002</v>
      </c>
      <c r="AN34" s="231">
        <f t="shared" si="14"/>
        <v>3.3879999999999999</v>
      </c>
      <c r="AO34" s="496" t="s">
        <v>390</v>
      </c>
    </row>
    <row r="35" spans="2:72" ht="17.899999999999999" customHeight="1" x14ac:dyDescent="0.35">
      <c r="B35" s="499" t="s">
        <v>391</v>
      </c>
      <c r="C35" s="258"/>
      <c r="D35" s="501"/>
      <c r="E35" s="501"/>
      <c r="F35" s="501"/>
      <c r="G35" s="501"/>
      <c r="H35" s="240">
        <f t="shared" ref="H35:T35" si="15">H31</f>
        <v>2425.1</v>
      </c>
      <c r="I35" s="240">
        <f t="shared" si="15"/>
        <v>2483.6999999999998</v>
      </c>
      <c r="J35" s="240">
        <f t="shared" si="15"/>
        <v>2458.1999999999998</v>
      </c>
      <c r="K35" s="240">
        <f t="shared" si="15"/>
        <v>2475.1</v>
      </c>
      <c r="L35" s="240">
        <f t="shared" si="15"/>
        <v>2489.4</v>
      </c>
      <c r="M35" s="240">
        <f t="shared" si="15"/>
        <v>2534.1999999999998</v>
      </c>
      <c r="N35" s="240">
        <f t="shared" si="15"/>
        <v>2572.6</v>
      </c>
      <c r="O35" s="240">
        <f t="shared" si="15"/>
        <v>2629</v>
      </c>
      <c r="P35" s="240">
        <f t="shared" si="15"/>
        <v>2665.4</v>
      </c>
      <c r="Q35" s="240">
        <f t="shared" si="15"/>
        <v>2726.1</v>
      </c>
      <c r="R35" s="240">
        <f t="shared" si="15"/>
        <v>2815.5</v>
      </c>
      <c r="S35" s="304">
        <f t="shared" si="15"/>
        <v>2838.7</v>
      </c>
      <c r="T35" s="304">
        <f t="shared" si="15"/>
        <v>2870.6</v>
      </c>
      <c r="U35" s="304">
        <f t="shared" ref="U35:Z35" si="16">U31</f>
        <v>2893</v>
      </c>
      <c r="V35" s="304">
        <f t="shared" si="16"/>
        <v>2904.1</v>
      </c>
      <c r="W35" s="304">
        <f t="shared" si="16"/>
        <v>2975.5</v>
      </c>
      <c r="X35" s="304">
        <f t="shared" si="16"/>
        <v>3019</v>
      </c>
      <c r="Y35" s="304">
        <f t="shared" si="16"/>
        <v>3070.7</v>
      </c>
      <c r="Z35" s="304">
        <f t="shared" si="16"/>
        <v>3100.9</v>
      </c>
      <c r="AA35" s="304">
        <f t="shared" ref="AA35" si="17">AA31</f>
        <v>3141.6</v>
      </c>
      <c r="AB35" s="304">
        <f>AB31</f>
        <v>3175</v>
      </c>
      <c r="AC35" s="304">
        <f>AC31</f>
        <v>3221.5</v>
      </c>
      <c r="AD35" s="471">
        <f>AC35*((1+AD34/100)^0.25)</f>
        <v>3247.8961419107918</v>
      </c>
      <c r="AE35" s="471">
        <f t="shared" ref="AE35:AF35" si="18">AD35*((1+AE34/100)^0.25)</f>
        <v>3277.5785161257559</v>
      </c>
      <c r="AF35" s="471">
        <f t="shared" si="18"/>
        <v>3308.3690390594757</v>
      </c>
      <c r="AG35" s="471">
        <f>AF35*((1+AG34/100)^0.25)</f>
        <v>3340.0357382897141</v>
      </c>
      <c r="AH35" s="471">
        <f>AG35*((1+AH34/100)^0.25)</f>
        <v>3369.560318097866</v>
      </c>
      <c r="AI35" s="471">
        <f t="shared" ref="AI35" si="19">AH35*((1+AI34/100)^0.25)</f>
        <v>3399.6412033311449</v>
      </c>
      <c r="AJ35" s="471">
        <f>AI35*((1+AJ34/100)^0.25)</f>
        <v>3428.9971379847207</v>
      </c>
      <c r="AK35" s="471">
        <f t="shared" ref="AK35:AN35" si="20">AJ35*((1+AK34/100)^0.25)</f>
        <v>3457.7123149527179</v>
      </c>
      <c r="AL35" s="471">
        <f t="shared" si="20"/>
        <v>3487.2242522221277</v>
      </c>
      <c r="AM35" s="471">
        <f t="shared" si="20"/>
        <v>3516.9540821226601</v>
      </c>
      <c r="AN35" s="471">
        <f t="shared" si="20"/>
        <v>3546.3715288254571</v>
      </c>
    </row>
    <row r="36" spans="2:72" x14ac:dyDescent="0.35">
      <c r="B36" s="489" t="s">
        <v>392</v>
      </c>
      <c r="C36" s="490"/>
      <c r="D36" s="502"/>
      <c r="E36" s="502"/>
      <c r="F36" s="502"/>
      <c r="G36" s="502"/>
      <c r="H36" s="495">
        <f t="shared" ref="H36:P36" si="21">H31-H58</f>
        <v>2143.788</v>
      </c>
      <c r="I36" s="495">
        <f t="shared" si="21"/>
        <v>2195.9409999999998</v>
      </c>
      <c r="J36" s="495">
        <f t="shared" si="21"/>
        <v>2061.5219999999999</v>
      </c>
      <c r="K36" s="495">
        <f t="shared" si="21"/>
        <v>2100.2359999999999</v>
      </c>
      <c r="L36" s="495">
        <f t="shared" si="21"/>
        <v>2120.6410000000001</v>
      </c>
      <c r="M36" s="495">
        <f t="shared" si="21"/>
        <v>2142.7459999999996</v>
      </c>
      <c r="N36" s="495">
        <f t="shared" si="21"/>
        <v>2143.3249999999998</v>
      </c>
      <c r="O36" s="495">
        <f t="shared" si="21"/>
        <v>2185.5480000000002</v>
      </c>
      <c r="P36" s="495">
        <f t="shared" si="21"/>
        <v>2193.252148</v>
      </c>
      <c r="Q36" s="495">
        <f t="shared" ref="Q36:AC36" si="22">Q35-Q58</f>
        <v>2220.2777252000001</v>
      </c>
      <c r="R36" s="495">
        <f t="shared" si="22"/>
        <v>2239.963968</v>
      </c>
      <c r="S36" s="495">
        <f t="shared" si="22"/>
        <v>2280.361132</v>
      </c>
      <c r="T36" s="495">
        <f t="shared" si="22"/>
        <v>2344.4670719999999</v>
      </c>
      <c r="U36" s="495">
        <f t="shared" si="22"/>
        <v>2375.9634568000001</v>
      </c>
      <c r="V36" s="242">
        <f t="shared" si="22"/>
        <v>2394.29628</v>
      </c>
      <c r="W36" s="242">
        <f t="shared" si="22"/>
        <v>2481.7960560000001</v>
      </c>
      <c r="X36" s="242">
        <f t="shared" si="22"/>
        <v>2509.0190560000001</v>
      </c>
      <c r="Y36" s="353">
        <f t="shared" si="22"/>
        <v>2558.3120559999998</v>
      </c>
      <c r="Z36" s="353">
        <f t="shared" si="22"/>
        <v>2582.6218910000002</v>
      </c>
      <c r="AA36" s="353">
        <f t="shared" si="22"/>
        <v>2601.9916699999999</v>
      </c>
      <c r="AB36" s="353">
        <f t="shared" si="22"/>
        <v>2632.1836742999999</v>
      </c>
      <c r="AC36" s="353">
        <f t="shared" si="22"/>
        <v>2717.6700030000002</v>
      </c>
      <c r="AD36" s="353"/>
      <c r="AE36" s="353"/>
      <c r="AF36" s="353"/>
      <c r="AG36" s="353"/>
      <c r="AH36" s="353"/>
      <c r="AI36" s="353"/>
      <c r="AJ36" s="353"/>
      <c r="AK36" s="353"/>
      <c r="AL36" s="353"/>
      <c r="AM36" s="353"/>
      <c r="AN36" s="353"/>
      <c r="AO36" s="245" t="s">
        <v>393</v>
      </c>
    </row>
    <row r="37" spans="2:72" x14ac:dyDescent="0.35">
      <c r="B37" s="56"/>
      <c r="C37" s="56"/>
      <c r="D37" s="56"/>
      <c r="E37" s="56"/>
      <c r="F37" s="56"/>
      <c r="G37" s="56"/>
      <c r="H37" s="56"/>
      <c r="I37" s="56"/>
      <c r="J37" s="56"/>
      <c r="K37" s="56"/>
      <c r="L37" s="56"/>
      <c r="M37" s="443"/>
      <c r="N37" s="443"/>
      <c r="O37" s="443"/>
      <c r="P37" s="443"/>
      <c r="Q37" s="443"/>
      <c r="R37" s="443"/>
      <c r="S37" s="443"/>
      <c r="T37" s="443"/>
      <c r="U37" s="443"/>
      <c r="V37" s="443"/>
      <c r="W37" s="443"/>
      <c r="X37" s="443"/>
      <c r="Y37" s="443"/>
      <c r="Z37" s="291"/>
      <c r="AA37" s="291"/>
      <c r="AB37" s="291"/>
      <c r="AC37" s="291"/>
      <c r="AD37" s="291"/>
      <c r="AE37" s="291"/>
      <c r="AF37" s="291"/>
      <c r="AG37" s="291"/>
      <c r="AH37" s="291"/>
    </row>
    <row r="38" spans="2:72" x14ac:dyDescent="0.35">
      <c r="B38" s="56"/>
      <c r="C38" s="56"/>
      <c r="D38" s="56"/>
      <c r="E38" s="56"/>
      <c r="F38" s="56"/>
      <c r="G38" s="56"/>
      <c r="H38" s="56"/>
      <c r="I38" s="56"/>
      <c r="J38" s="56"/>
      <c r="K38" s="56"/>
      <c r="L38" s="56"/>
      <c r="M38" s="443"/>
      <c r="N38" s="443"/>
      <c r="O38" s="443"/>
      <c r="Q38" s="443"/>
      <c r="R38" s="443"/>
      <c r="S38" s="291"/>
      <c r="T38" s="291"/>
      <c r="U38" s="291"/>
      <c r="V38" s="291"/>
      <c r="Y38" s="291"/>
      <c r="Z38" s="291"/>
      <c r="AA38" s="291"/>
      <c r="AB38" s="291"/>
      <c r="AC38" s="291"/>
      <c r="AD38" s="291"/>
      <c r="AE38" s="291"/>
      <c r="AF38" s="291"/>
      <c r="AG38" s="291"/>
      <c r="AH38" s="291"/>
    </row>
    <row r="39" spans="2:72" x14ac:dyDescent="0.35">
      <c r="B39" s="253"/>
      <c r="C39" s="253"/>
      <c r="D39" s="253"/>
      <c r="E39" s="253"/>
      <c r="F39" s="253"/>
      <c r="G39" s="253"/>
      <c r="H39" s="242"/>
      <c r="I39" s="242"/>
      <c r="J39" s="242"/>
      <c r="K39" s="242"/>
      <c r="L39" s="242"/>
      <c r="M39" s="242"/>
      <c r="N39" s="242"/>
      <c r="O39" s="242"/>
      <c r="P39" s="242"/>
      <c r="Q39" s="494"/>
      <c r="R39" s="242"/>
      <c r="S39" s="242"/>
      <c r="T39" s="242"/>
      <c r="U39" s="242"/>
      <c r="V39" s="242"/>
      <c r="W39" s="242"/>
      <c r="X39" s="242"/>
      <c r="Y39" s="242"/>
      <c r="Z39" s="242"/>
    </row>
    <row r="40" spans="2:72" ht="85.4" customHeight="1" x14ac:dyDescent="0.35">
      <c r="B40" s="463" t="s">
        <v>877</v>
      </c>
      <c r="C40" s="464" t="s">
        <v>876</v>
      </c>
      <c r="D40" s="150">
        <v>44197</v>
      </c>
      <c r="E40" s="462">
        <v>44228</v>
      </c>
      <c r="F40" s="150">
        <v>44256</v>
      </c>
      <c r="G40" s="150">
        <v>44287</v>
      </c>
      <c r="H40" s="150">
        <v>44317</v>
      </c>
      <c r="I40" s="150">
        <v>44348</v>
      </c>
      <c r="J40" s="150">
        <v>44378</v>
      </c>
      <c r="K40" s="462">
        <v>44409</v>
      </c>
      <c r="L40" s="150">
        <v>44440</v>
      </c>
      <c r="M40" s="150">
        <v>44470</v>
      </c>
      <c r="N40" s="150">
        <v>44501</v>
      </c>
      <c r="O40" s="150">
        <v>44531</v>
      </c>
      <c r="P40" s="150">
        <v>44562</v>
      </c>
      <c r="Q40" s="462">
        <v>44593</v>
      </c>
      <c r="R40" s="150">
        <v>44621</v>
      </c>
      <c r="S40" s="150">
        <v>44652</v>
      </c>
      <c r="T40" s="150">
        <v>44682</v>
      </c>
      <c r="U40" s="150">
        <v>44713</v>
      </c>
      <c r="V40" s="150">
        <v>44743</v>
      </c>
      <c r="W40" s="150">
        <v>44774</v>
      </c>
      <c r="X40" s="150">
        <v>44805</v>
      </c>
      <c r="Y40" s="150">
        <v>44835</v>
      </c>
      <c r="Z40" s="150">
        <v>44866</v>
      </c>
      <c r="AA40" s="150">
        <v>44896</v>
      </c>
      <c r="AB40" s="150">
        <v>44927</v>
      </c>
      <c r="AC40" s="150">
        <v>44958</v>
      </c>
      <c r="AD40" s="150">
        <v>44986</v>
      </c>
      <c r="AE40" s="150">
        <v>45017</v>
      </c>
      <c r="AF40" s="150">
        <v>45047</v>
      </c>
      <c r="AG40" s="150">
        <v>45078</v>
      </c>
      <c r="AH40" s="150">
        <v>45108</v>
      </c>
      <c r="AI40" s="150">
        <v>45139</v>
      </c>
      <c r="AJ40" s="150">
        <v>45170</v>
      </c>
      <c r="AK40" s="150">
        <v>45200</v>
      </c>
      <c r="AL40" s="150">
        <v>45231</v>
      </c>
      <c r="AM40" s="150">
        <v>45261</v>
      </c>
      <c r="AN40" s="150">
        <v>45292</v>
      </c>
      <c r="AO40" s="150">
        <v>45323</v>
      </c>
      <c r="AP40" s="150">
        <v>45352</v>
      </c>
      <c r="AQ40" s="150">
        <v>45383</v>
      </c>
      <c r="AR40" s="150">
        <v>45413</v>
      </c>
      <c r="AS40" s="150">
        <v>45444</v>
      </c>
      <c r="AT40" s="150">
        <v>45474</v>
      </c>
      <c r="AU40" s="150">
        <v>45505</v>
      </c>
      <c r="AV40" s="150">
        <v>45536</v>
      </c>
      <c r="AW40" s="150">
        <v>45566</v>
      </c>
      <c r="AX40" s="150">
        <v>45597</v>
      </c>
      <c r="AY40" s="150">
        <v>45627</v>
      </c>
      <c r="AZ40" s="150">
        <v>45658</v>
      </c>
      <c r="BA40" s="150">
        <v>45689</v>
      </c>
      <c r="BB40" s="150">
        <v>45717</v>
      </c>
      <c r="BC40" s="150">
        <v>45748</v>
      </c>
    </row>
    <row r="41" spans="2:72" ht="19.5" customHeight="1" x14ac:dyDescent="0.35">
      <c r="B41" s="362" t="s">
        <v>394</v>
      </c>
      <c r="C41" s="452"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2" t="s">
        <v>395</v>
      </c>
      <c r="C42" s="164"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2" t="s">
        <v>1890</v>
      </c>
      <c r="C43" s="245"/>
      <c r="D43" s="43"/>
      <c r="E43" s="43"/>
      <c r="F43" s="43"/>
      <c r="G43" s="43"/>
      <c r="H43" s="43"/>
      <c r="I43" s="43"/>
      <c r="J43" s="43"/>
      <c r="K43" s="43"/>
      <c r="L43" s="43"/>
      <c r="M43" s="43"/>
      <c r="N43" s="43"/>
      <c r="O43" s="43"/>
      <c r="P43" s="43"/>
      <c r="Q43" s="43"/>
      <c r="R43" s="447"/>
      <c r="S43" s="447"/>
      <c r="T43" s="447"/>
      <c r="U43" s="447"/>
      <c r="V43" s="447">
        <f>V41+V42</f>
        <v>19420</v>
      </c>
      <c r="W43" s="447">
        <f t="shared" ref="W43:AR43" si="23">W41+W42</f>
        <v>19410</v>
      </c>
      <c r="X43" s="447">
        <f t="shared" si="23"/>
        <v>19417</v>
      </c>
      <c r="Y43" s="447">
        <f t="shared" si="23"/>
        <v>19440</v>
      </c>
      <c r="Z43" s="447">
        <f t="shared" si="23"/>
        <v>19499</v>
      </c>
      <c r="AA43" s="447">
        <f t="shared" si="23"/>
        <v>19500</v>
      </c>
      <c r="AB43" s="447">
        <f t="shared" si="23"/>
        <v>19610</v>
      </c>
      <c r="AC43" s="447">
        <f t="shared" si="23"/>
        <v>19658</v>
      </c>
      <c r="AD43" s="447">
        <f t="shared" si="23"/>
        <v>19688</v>
      </c>
      <c r="AE43" s="447">
        <f t="shared" si="23"/>
        <v>19729</v>
      </c>
      <c r="AF43" s="447">
        <f t="shared" si="23"/>
        <v>19781</v>
      </c>
      <c r="AG43" s="447">
        <f t="shared" si="23"/>
        <v>19859</v>
      </c>
      <c r="AH43" s="447">
        <f t="shared" si="23"/>
        <v>19892</v>
      </c>
      <c r="AI43" s="447">
        <f t="shared" si="23"/>
        <v>19927</v>
      </c>
      <c r="AJ43" s="447">
        <f t="shared" si="23"/>
        <v>19990</v>
      </c>
      <c r="AK43" s="447">
        <f t="shared" si="23"/>
        <v>20052</v>
      </c>
      <c r="AL43" s="447">
        <f t="shared" si="23"/>
        <v>20094</v>
      </c>
      <c r="AM43" s="447">
        <f t="shared" si="23"/>
        <v>20141</v>
      </c>
      <c r="AN43" s="447">
        <f t="shared" si="23"/>
        <v>20176</v>
      </c>
      <c r="AO43" s="447">
        <f t="shared" si="23"/>
        <v>20239</v>
      </c>
      <c r="AP43" s="447">
        <f t="shared" si="23"/>
        <v>20304</v>
      </c>
      <c r="AQ43" s="447">
        <f t="shared" si="23"/>
        <v>20295</v>
      </c>
      <c r="AR43" s="447">
        <f t="shared" si="23"/>
        <v>20325</v>
      </c>
      <c r="AS43" s="447">
        <f t="shared" ref="AS43:BC43" si="24">AS41+AS42</f>
        <v>20344</v>
      </c>
      <c r="AT43" s="447">
        <f t="shared" si="24"/>
        <v>20390</v>
      </c>
      <c r="AU43" s="447">
        <f t="shared" si="24"/>
        <v>20426</v>
      </c>
      <c r="AV43" s="447">
        <f t="shared" si="24"/>
        <v>20454</v>
      </c>
      <c r="AW43" s="447">
        <f t="shared" si="24"/>
        <v>20496</v>
      </c>
      <c r="AX43" s="447">
        <f t="shared" si="24"/>
        <v>20515</v>
      </c>
      <c r="AY43" s="447">
        <f>AY41+AY42</f>
        <v>20548</v>
      </c>
      <c r="AZ43" s="447">
        <f t="shared" si="24"/>
        <v>20577</v>
      </c>
      <c r="BA43" s="447">
        <f t="shared" si="24"/>
        <v>20585</v>
      </c>
      <c r="BB43" s="447">
        <f t="shared" si="24"/>
        <v>20604</v>
      </c>
      <c r="BC43" s="447">
        <f t="shared" si="24"/>
        <v>20623</v>
      </c>
    </row>
    <row r="44" spans="2:72" ht="19.5" customHeight="1" x14ac:dyDescent="0.35">
      <c r="B44" s="489" t="s">
        <v>397</v>
      </c>
      <c r="C44" s="367" t="s">
        <v>398</v>
      </c>
      <c r="D44" s="448">
        <v>345102</v>
      </c>
      <c r="E44" s="449">
        <v>335151</v>
      </c>
      <c r="F44" s="449">
        <v>336955</v>
      </c>
      <c r="G44" s="449">
        <v>335574</v>
      </c>
      <c r="H44" s="449">
        <v>338521</v>
      </c>
      <c r="I44" s="449">
        <v>329746</v>
      </c>
      <c r="J44" s="449">
        <v>328919</v>
      </c>
      <c r="K44" s="449">
        <v>333989</v>
      </c>
      <c r="L44" s="449">
        <v>326840</v>
      </c>
      <c r="M44" s="449">
        <v>327373</v>
      </c>
      <c r="N44" s="449">
        <v>331380</v>
      </c>
      <c r="O44" s="449">
        <v>331492</v>
      </c>
      <c r="P44" s="449">
        <v>334244</v>
      </c>
      <c r="Q44" s="449">
        <v>338416</v>
      </c>
      <c r="R44" s="449">
        <v>339417</v>
      </c>
      <c r="S44" s="449">
        <v>345062</v>
      </c>
      <c r="T44" s="449">
        <v>339178</v>
      </c>
      <c r="U44" s="449">
        <v>342484</v>
      </c>
      <c r="V44" s="449">
        <v>350972</v>
      </c>
      <c r="W44" s="449">
        <v>350286</v>
      </c>
      <c r="X44" s="449">
        <v>355116</v>
      </c>
      <c r="Y44" s="449">
        <v>354474</v>
      </c>
      <c r="Z44" s="449">
        <v>359543</v>
      </c>
      <c r="AA44" s="449">
        <v>361033</v>
      </c>
      <c r="AB44" s="449">
        <v>364867</v>
      </c>
      <c r="AC44" s="449">
        <v>371673</v>
      </c>
      <c r="AD44" s="449">
        <v>374555</v>
      </c>
      <c r="AE44" s="449">
        <v>382073</v>
      </c>
      <c r="AF44" s="449">
        <v>388978</v>
      </c>
      <c r="AG44" s="449">
        <v>396538</v>
      </c>
      <c r="AH44" s="449">
        <v>404059</v>
      </c>
      <c r="AI44" s="449">
        <v>407847</v>
      </c>
      <c r="AJ44" s="449">
        <v>418897</v>
      </c>
      <c r="AK44" s="448">
        <v>432334</v>
      </c>
      <c r="AL44" s="449">
        <v>440095</v>
      </c>
      <c r="AM44" s="449">
        <v>446894</v>
      </c>
      <c r="AN44" s="449">
        <v>445408</v>
      </c>
      <c r="AO44" s="448">
        <v>448458</v>
      </c>
      <c r="AP44" s="449">
        <v>453062</v>
      </c>
      <c r="AQ44" s="448">
        <v>451154</v>
      </c>
      <c r="AR44" s="43"/>
      <c r="AS44" s="450"/>
      <c r="AT44" s="450"/>
      <c r="AU44" s="450"/>
      <c r="AV44" s="450"/>
      <c r="AW44" s="450"/>
      <c r="AX44" s="450"/>
      <c r="AY44" s="451"/>
      <c r="AZ44" s="451"/>
      <c r="BA44" s="43"/>
      <c r="BB44" s="43"/>
      <c r="BC44" s="43"/>
    </row>
    <row r="45" spans="2:72" ht="15.65" customHeight="1" x14ac:dyDescent="0.35">
      <c r="B45" s="258"/>
      <c r="C45" s="25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83" t="s">
        <v>399</v>
      </c>
      <c r="C47" s="1383"/>
      <c r="D47" s="1383"/>
      <c r="E47" s="1383"/>
      <c r="F47" s="1383"/>
      <c r="G47" s="1383"/>
      <c r="H47" s="1383"/>
      <c r="I47" s="1383"/>
      <c r="J47" s="1383"/>
      <c r="K47" s="1383"/>
      <c r="L47" s="1383"/>
      <c r="M47" s="1383"/>
      <c r="N47" s="1383"/>
      <c r="O47" s="1383"/>
      <c r="P47" s="1383"/>
      <c r="Q47" s="1383"/>
      <c r="R47" s="1383"/>
      <c r="S47" s="1383"/>
      <c r="T47" s="1383"/>
      <c r="U47" s="1383"/>
      <c r="V47" s="1383"/>
      <c r="W47" s="1383"/>
      <c r="X47" s="1383"/>
      <c r="Y47" s="1383"/>
      <c r="Z47" s="1383"/>
      <c r="AA47" s="1383"/>
      <c r="AB47" s="1383"/>
      <c r="AC47" s="1383"/>
      <c r="AD47" s="219"/>
      <c r="AE47">
        <f>AVERAGE(AE44:AG44)</f>
        <v>389196.33333333331</v>
      </c>
      <c r="AF47" s="219"/>
      <c r="AG47" s="219"/>
      <c r="AH47" s="219"/>
      <c r="AL47" s="245"/>
    </row>
    <row r="48" spans="2:72" ht="20.25" customHeight="1" x14ac:dyDescent="0.35">
      <c r="B48" s="1383"/>
      <c r="C48" s="1383"/>
      <c r="D48" s="1383"/>
      <c r="E48" s="1383"/>
      <c r="F48" s="1383"/>
      <c r="G48" s="1383"/>
      <c r="H48" s="1383"/>
      <c r="I48" s="1383"/>
      <c r="J48" s="1383"/>
      <c r="K48" s="1383"/>
      <c r="L48" s="1383"/>
      <c r="M48" s="1383"/>
      <c r="N48" s="1383"/>
      <c r="O48" s="1383"/>
      <c r="P48" s="1383"/>
      <c r="Q48" s="1383"/>
      <c r="R48" s="1383"/>
      <c r="S48" s="1383"/>
      <c r="T48" s="1383"/>
      <c r="U48" s="1383"/>
      <c r="V48" s="1383"/>
      <c r="W48" s="1383"/>
      <c r="X48" s="1383"/>
      <c r="Y48" s="1383"/>
      <c r="Z48" s="1383"/>
      <c r="AA48" s="1383"/>
      <c r="AB48" s="1383"/>
      <c r="AC48" s="1383"/>
      <c r="AD48" s="219"/>
      <c r="AE48" s="219"/>
      <c r="AF48" s="219"/>
      <c r="AG48" s="219"/>
      <c r="AH48" s="219"/>
      <c r="AL48" s="245"/>
    </row>
    <row r="49" spans="2:40" ht="14.25" customHeight="1" x14ac:dyDescent="0.35">
      <c r="B49" s="1382" t="s">
        <v>400</v>
      </c>
      <c r="C49" s="1382"/>
      <c r="D49" s="1382"/>
      <c r="E49" s="1382"/>
      <c r="F49" s="1382"/>
      <c r="G49" s="1382"/>
      <c r="H49" s="1382"/>
      <c r="I49" s="1382"/>
      <c r="J49" s="1382"/>
      <c r="K49" s="1382"/>
      <c r="L49" s="1382"/>
      <c r="M49" s="1382"/>
      <c r="N49" s="1382"/>
      <c r="O49" s="1382"/>
      <c r="P49" s="1382"/>
      <c r="Q49" s="1382"/>
      <c r="R49" s="1382"/>
      <c r="S49" s="1382"/>
      <c r="T49" s="1382"/>
      <c r="U49" s="1382"/>
      <c r="V49" s="1382"/>
      <c r="W49" s="1382"/>
      <c r="X49" s="1382"/>
      <c r="Y49" s="1382"/>
      <c r="Z49" s="1382"/>
      <c r="AA49" s="1382"/>
      <c r="AB49" s="1382"/>
      <c r="AC49" s="1382"/>
      <c r="AD49" s="387"/>
      <c r="AE49" s="387"/>
      <c r="AF49" s="387"/>
      <c r="AG49" s="387"/>
      <c r="AH49" s="387"/>
      <c r="AL49" s="245"/>
    </row>
    <row r="50" spans="2:40" x14ac:dyDescent="0.35">
      <c r="B50" s="1382"/>
      <c r="C50" s="1382"/>
      <c r="D50" s="1382"/>
      <c r="E50" s="1382"/>
      <c r="F50" s="1382"/>
      <c r="G50" s="1382"/>
      <c r="H50" s="1382"/>
      <c r="I50" s="1382"/>
      <c r="J50" s="1382"/>
      <c r="K50" s="1382"/>
      <c r="L50" s="1382"/>
      <c r="M50" s="1382"/>
      <c r="N50" s="1382"/>
      <c r="O50" s="1382"/>
      <c r="P50" s="1382"/>
      <c r="Q50" s="1382"/>
      <c r="R50" s="1382"/>
      <c r="S50" s="1382"/>
      <c r="T50" s="1382"/>
      <c r="U50" s="1382"/>
      <c r="V50" s="1382"/>
      <c r="W50" s="1382"/>
      <c r="X50" s="1382"/>
      <c r="Y50" s="1382"/>
      <c r="Z50" s="1382"/>
      <c r="AA50" s="1382"/>
      <c r="AB50" s="1382"/>
      <c r="AC50" s="1382"/>
      <c r="AD50" s="387"/>
      <c r="AE50" s="387"/>
      <c r="AF50" s="387"/>
      <c r="AG50" s="387"/>
      <c r="AH50" s="387"/>
      <c r="AL50" s="245"/>
    </row>
    <row r="51" spans="2:40" ht="8.9" customHeight="1" x14ac:dyDescent="0.35">
      <c r="B51" s="1382"/>
      <c r="C51" s="1382"/>
      <c r="D51" s="1382"/>
      <c r="E51" s="1382"/>
      <c r="F51" s="1382"/>
      <c r="G51" s="1382"/>
      <c r="H51" s="1382"/>
      <c r="I51" s="1382"/>
      <c r="J51" s="1382"/>
      <c r="K51" s="1382"/>
      <c r="L51" s="1382"/>
      <c r="M51" s="1382"/>
      <c r="N51" s="1382"/>
      <c r="O51" s="1382"/>
      <c r="P51" s="1382"/>
      <c r="Q51" s="1382"/>
      <c r="R51" s="1382"/>
      <c r="S51" s="1382"/>
      <c r="T51" s="1382"/>
      <c r="U51" s="1382"/>
      <c r="V51" s="1382"/>
      <c r="W51" s="1382"/>
      <c r="X51" s="1382"/>
      <c r="Y51" s="1382"/>
      <c r="Z51" s="1382"/>
      <c r="AA51" s="1382"/>
      <c r="AB51" s="1382"/>
      <c r="AC51" s="1382"/>
      <c r="AD51" s="387"/>
      <c r="AE51" s="387"/>
      <c r="AF51" s="387"/>
      <c r="AG51" s="387"/>
      <c r="AH51" s="387"/>
      <c r="AL51" s="245"/>
    </row>
    <row r="52" spans="2:40" ht="12.75" customHeight="1" x14ac:dyDescent="0.35">
      <c r="AL52" s="245"/>
    </row>
    <row r="53" spans="2:40" ht="30.75" customHeight="1" x14ac:dyDescent="0.35">
      <c r="B53" s="1256" t="s">
        <v>278</v>
      </c>
      <c r="C53" s="1384"/>
      <c r="D53" s="1276" t="s">
        <v>279</v>
      </c>
      <c r="E53" s="1277"/>
      <c r="F53" s="1277"/>
      <c r="G53" s="1277"/>
      <c r="H53" s="1277"/>
      <c r="I53" s="1277"/>
      <c r="J53" s="1277"/>
      <c r="K53" s="1277"/>
      <c r="L53" s="1277"/>
      <c r="M53" s="1277"/>
      <c r="N53" s="1277"/>
      <c r="O53" s="1277"/>
      <c r="P53" s="1277"/>
      <c r="Q53" s="1277"/>
      <c r="R53" s="1277"/>
      <c r="S53" s="1277"/>
      <c r="T53" s="1277"/>
      <c r="U53" s="1277"/>
      <c r="V53" s="1277"/>
      <c r="W53" s="1277"/>
      <c r="X53" s="1277"/>
      <c r="Y53" s="1277"/>
      <c r="Z53" s="1277"/>
      <c r="AA53" s="1278"/>
      <c r="AB53" s="1261" t="s">
        <v>280</v>
      </c>
      <c r="AC53" s="1262"/>
      <c r="AD53" s="1262"/>
      <c r="AE53" s="1262"/>
      <c r="AF53" s="1262"/>
      <c r="AG53" s="1262"/>
      <c r="AH53" s="1262"/>
      <c r="AI53" s="1262"/>
      <c r="AJ53" s="1262"/>
      <c r="AK53" s="1262"/>
      <c r="AL53" s="1262"/>
      <c r="AM53" s="1262"/>
      <c r="AN53" s="1263"/>
    </row>
    <row r="54" spans="2:40" x14ac:dyDescent="0.35">
      <c r="B54" s="1258"/>
      <c r="C54" s="1259"/>
      <c r="D54" s="293">
        <v>2018</v>
      </c>
      <c r="E54" s="1264">
        <v>2019</v>
      </c>
      <c r="F54" s="1359"/>
      <c r="G54" s="1359"/>
      <c r="H54" s="1266"/>
      <c r="I54" s="1264">
        <v>2020</v>
      </c>
      <c r="J54" s="1359"/>
      <c r="K54" s="1359"/>
      <c r="L54" s="1359"/>
      <c r="M54" s="1264">
        <v>2021</v>
      </c>
      <c r="N54" s="1359"/>
      <c r="O54" s="1359"/>
      <c r="P54" s="1359"/>
      <c r="Q54" s="1264">
        <v>2022</v>
      </c>
      <c r="R54" s="1265"/>
      <c r="S54" s="1265"/>
      <c r="T54" s="1265"/>
      <c r="U54" s="1264">
        <v>2023</v>
      </c>
      <c r="V54" s="1265"/>
      <c r="W54" s="1265"/>
      <c r="X54" s="1266"/>
      <c r="Y54" s="453"/>
      <c r="Z54" s="299">
        <v>2024</v>
      </c>
      <c r="AA54" s="299"/>
      <c r="AB54" s="332"/>
      <c r="AC54" s="1270">
        <v>2025</v>
      </c>
      <c r="AD54" s="1271"/>
      <c r="AE54" s="1271"/>
      <c r="AF54" s="1272"/>
      <c r="AG54" s="1270">
        <v>2026</v>
      </c>
      <c r="AH54" s="1271"/>
      <c r="AI54" s="1271"/>
      <c r="AJ54" s="1272"/>
      <c r="AK54" s="1270">
        <v>2027</v>
      </c>
      <c r="AL54" s="1271"/>
      <c r="AM54" s="1271"/>
      <c r="AN54" s="1272"/>
    </row>
    <row r="55" spans="2:40" x14ac:dyDescent="0.35">
      <c r="B55" s="1274"/>
      <c r="C55" s="1275"/>
      <c r="D55" s="221" t="s">
        <v>281</v>
      </c>
      <c r="E55" s="221" t="s">
        <v>282</v>
      </c>
      <c r="F55" s="222" t="s">
        <v>283</v>
      </c>
      <c r="G55" s="222" t="s">
        <v>238</v>
      </c>
      <c r="H55" s="228" t="s">
        <v>281</v>
      </c>
      <c r="I55" s="222" t="s">
        <v>282</v>
      </c>
      <c r="J55" s="222" t="s">
        <v>283</v>
      </c>
      <c r="K55" s="222" t="s">
        <v>238</v>
      </c>
      <c r="L55" s="222" t="s">
        <v>281</v>
      </c>
      <c r="M55" s="221" t="s">
        <v>282</v>
      </c>
      <c r="N55" s="222" t="s">
        <v>283</v>
      </c>
      <c r="O55" s="222" t="s">
        <v>238</v>
      </c>
      <c r="P55" s="222" t="s">
        <v>281</v>
      </c>
      <c r="Q55" s="221" t="s">
        <v>282</v>
      </c>
      <c r="R55" s="222" t="s">
        <v>283</v>
      </c>
      <c r="S55" s="222" t="s">
        <v>238</v>
      </c>
      <c r="T55" s="222" t="s">
        <v>281</v>
      </c>
      <c r="U55" s="282" t="s">
        <v>282</v>
      </c>
      <c r="V55" s="283" t="s">
        <v>283</v>
      </c>
      <c r="W55" s="283" t="s">
        <v>238</v>
      </c>
      <c r="X55" s="281" t="s">
        <v>281</v>
      </c>
      <c r="Y55" s="282" t="s">
        <v>282</v>
      </c>
      <c r="Z55" s="288" t="s">
        <v>283</v>
      </c>
      <c r="AA55" s="283" t="s">
        <v>238</v>
      </c>
      <c r="AB55" s="298" t="s">
        <v>281</v>
      </c>
      <c r="AC55" s="296" t="s">
        <v>282</v>
      </c>
      <c r="AD55" s="267" t="s">
        <v>283</v>
      </c>
      <c r="AE55" s="269" t="s">
        <v>238</v>
      </c>
      <c r="AF55" s="298" t="s">
        <v>281</v>
      </c>
      <c r="AG55" s="232" t="s">
        <v>282</v>
      </c>
      <c r="AH55" s="267" t="s">
        <v>283</v>
      </c>
      <c r="AI55" s="267" t="s">
        <v>238</v>
      </c>
      <c r="AJ55" s="286" t="s">
        <v>281</v>
      </c>
      <c r="AK55" s="232" t="s">
        <v>282</v>
      </c>
      <c r="AL55" s="267" t="s">
        <v>283</v>
      </c>
      <c r="AM55" s="267" t="s">
        <v>238</v>
      </c>
      <c r="AN55" s="286" t="s">
        <v>281</v>
      </c>
    </row>
    <row r="56" spans="2:40" x14ac:dyDescent="0.35">
      <c r="B56" s="497" t="s">
        <v>134</v>
      </c>
      <c r="C56" s="270"/>
      <c r="D56" s="254"/>
      <c r="E56" s="491"/>
      <c r="F56" s="491"/>
      <c r="G56" s="491"/>
      <c r="H56" s="436">
        <f>Grants!H94</f>
        <v>72.497</v>
      </c>
      <c r="I56" s="436">
        <f>Grants!I94</f>
        <v>75.649000000000001</v>
      </c>
      <c r="J56" s="436">
        <f>Grants!J94</f>
        <v>75.483999999999995</v>
      </c>
      <c r="K56" s="436">
        <f>Grants!K94</f>
        <v>79.444000000000003</v>
      </c>
      <c r="L56" s="436">
        <f>Grants!L94</f>
        <v>75.742999999999995</v>
      </c>
      <c r="M56" s="436">
        <f>Grants!M94</f>
        <v>73.183000000000007</v>
      </c>
      <c r="N56" s="436">
        <f>Grants!N94</f>
        <v>74.421000000000006</v>
      </c>
      <c r="O56" s="436">
        <f>Grants!O94</f>
        <v>70.334000000000003</v>
      </c>
      <c r="P56" s="436">
        <f>Grants!P94</f>
        <v>72.707999999999998</v>
      </c>
      <c r="Q56" s="436">
        <f>Grants!Q94</f>
        <v>75.024000000000001</v>
      </c>
      <c r="R56" s="436">
        <f>Grants!R94</f>
        <v>75.203000000000003</v>
      </c>
      <c r="S56" s="492">
        <f>Grants!S94</f>
        <v>75.203000000000003</v>
      </c>
      <c r="T56" s="473">
        <f>Grants!T94</f>
        <v>76.022000000000006</v>
      </c>
      <c r="U56" s="237">
        <f>Grants!U94</f>
        <v>76.022000000000006</v>
      </c>
      <c r="V56" s="237">
        <f>Grants!V94</f>
        <v>76.022000000000006</v>
      </c>
      <c r="W56" s="237">
        <f>Grants!W94</f>
        <v>76.022000000000006</v>
      </c>
      <c r="X56" s="231">
        <f>Grants!X94</f>
        <v>77.680999999999997</v>
      </c>
      <c r="Y56" s="231">
        <f>Grants!Y94</f>
        <v>77.680999999999997</v>
      </c>
      <c r="Z56" s="231">
        <f>Grants!Z94</f>
        <v>77.680999999999997</v>
      </c>
      <c r="AA56" s="231">
        <f>Grants!AA94</f>
        <v>77.680999999999997</v>
      </c>
      <c r="AB56" s="231">
        <f>Grants!AB94</f>
        <v>79.275000000000006</v>
      </c>
      <c r="AC56" s="231">
        <f>Grants!AC94</f>
        <v>79.275000000000006</v>
      </c>
      <c r="AD56" s="231">
        <f>Grants!AD94</f>
        <v>75.203000000000003</v>
      </c>
      <c r="AE56" s="231">
        <f>Grants!AE94</f>
        <v>75.203000000000003</v>
      </c>
      <c r="AF56" s="231">
        <f>Grants!AF94</f>
        <v>75.203000000000003</v>
      </c>
      <c r="AG56" s="231">
        <f>Grants!AG94</f>
        <v>75.203000000000003</v>
      </c>
      <c r="AH56" s="231">
        <f>Grants!AH94</f>
        <v>75.203000000000003</v>
      </c>
      <c r="AI56" s="231">
        <f>Grants!AI94</f>
        <v>75.203000000000003</v>
      </c>
      <c r="AJ56" s="231">
        <f>Grants!AJ94</f>
        <v>75.203000000000003</v>
      </c>
      <c r="AK56" s="231">
        <f>Grants!AK94</f>
        <v>75.203000000000003</v>
      </c>
      <c r="AL56" s="231">
        <f>Grants!AL94</f>
        <v>75.203000000000003</v>
      </c>
      <c r="AM56" s="231">
        <f>Grants!AM94</f>
        <v>75.203000000000003</v>
      </c>
      <c r="AN56" s="231">
        <f>Grants!AN94</f>
        <v>75.203000000000003</v>
      </c>
    </row>
    <row r="57" spans="2:40" x14ac:dyDescent="0.35">
      <c r="B57" s="488" t="s">
        <v>192</v>
      </c>
      <c r="C57" s="230"/>
      <c r="D57" s="287"/>
      <c r="E57" s="230"/>
      <c r="F57" s="230"/>
      <c r="G57" s="230"/>
      <c r="H57" s="237">
        <f>Grants!H73</f>
        <v>208.815</v>
      </c>
      <c r="I57" s="237">
        <f>Grants!I73</f>
        <v>212.11</v>
      </c>
      <c r="J57" s="237">
        <f>Grants!J73</f>
        <v>321.19400000000007</v>
      </c>
      <c r="K57" s="237">
        <f>Grants!K73</f>
        <v>295.41999999999996</v>
      </c>
      <c r="L57" s="237">
        <f>Grants!L73</f>
        <v>293.01599999999996</v>
      </c>
      <c r="M57" s="237">
        <f>Grants!M73</f>
        <v>318.27100000000007</v>
      </c>
      <c r="N57" s="237">
        <f>Grants!N73</f>
        <v>354.85400000000004</v>
      </c>
      <c r="O57" s="237">
        <f>Grants!O73</f>
        <v>373.11799999999988</v>
      </c>
      <c r="P57" s="237">
        <f>Grants!P73</f>
        <v>399.43985199999997</v>
      </c>
      <c r="Q57" s="237">
        <f>Grants!Q73</f>
        <v>430.7982748</v>
      </c>
      <c r="R57" s="237">
        <f>Grants!R73</f>
        <v>500.33303199999995</v>
      </c>
      <c r="S57" s="237">
        <f>Grants!S73</f>
        <v>483.13586799999996</v>
      </c>
      <c r="T57" s="237">
        <f>Grants!T73</f>
        <v>450.110928</v>
      </c>
      <c r="U57" s="470">
        <f>Grants!U73</f>
        <v>441.01454320000011</v>
      </c>
      <c r="V57" s="470">
        <f>Grants!V73</f>
        <v>433.78172000000006</v>
      </c>
      <c r="W57" s="470">
        <f>Grants!W73</f>
        <v>417.68194400000004</v>
      </c>
      <c r="X57" s="470">
        <f>Grants!X73</f>
        <v>432.29994399999998</v>
      </c>
      <c r="Y57" s="470">
        <f>Grants!Y73</f>
        <v>434.70694400000002</v>
      </c>
      <c r="Z57" s="470">
        <f>Grants!Z73</f>
        <v>440.59710899999999</v>
      </c>
      <c r="AA57" s="470">
        <f>Grants!AA73</f>
        <v>461.9273300000001</v>
      </c>
      <c r="AB57" s="470">
        <f>Grants!AB73</f>
        <v>463.54132570000002</v>
      </c>
      <c r="AC57" s="470">
        <f>Grants!AC73</f>
        <v>424.55499699999996</v>
      </c>
      <c r="AD57" s="470">
        <f>Grants!AD73</f>
        <v>420.04109870414106</v>
      </c>
      <c r="AE57" s="470">
        <f>Grants!AE73</f>
        <v>422.7303328673143</v>
      </c>
      <c r="AF57" s="470">
        <f>Grants!AF73</f>
        <v>421.56036623063881</v>
      </c>
      <c r="AG57" s="470">
        <f>Grants!AG73</f>
        <v>424.42899879999999</v>
      </c>
      <c r="AH57" s="470">
        <f>Grants!AH73</f>
        <v>424.52289717230673</v>
      </c>
      <c r="AI57" s="470">
        <f>Grants!AI73</f>
        <v>428.44833986200683</v>
      </c>
      <c r="AJ57" s="470">
        <f>Grants!AJ73</f>
        <v>430.40260812786426</v>
      </c>
      <c r="AK57" s="470">
        <f>Grants!AK73</f>
        <v>433.38598599999989</v>
      </c>
      <c r="AL57" s="470">
        <f>Grants!AL73</f>
        <v>436.39876030719887</v>
      </c>
      <c r="AM57" s="470">
        <f>Grants!AM73</f>
        <v>439.44122070448702</v>
      </c>
      <c r="AN57" s="470">
        <f>Grants!AN73</f>
        <v>442.51365970097879</v>
      </c>
    </row>
    <row r="58" spans="2:40" x14ac:dyDescent="0.35">
      <c r="B58" s="498" t="s">
        <v>401</v>
      </c>
      <c r="C58" s="490"/>
      <c r="D58" s="489"/>
      <c r="E58" s="490"/>
      <c r="F58" s="490"/>
      <c r="G58" s="490"/>
      <c r="H58" s="474">
        <f>H56+H57</f>
        <v>281.31200000000001</v>
      </c>
      <c r="I58" s="474">
        <f t="shared" ref="I58:AN58" si="25">I56+I57</f>
        <v>287.75900000000001</v>
      </c>
      <c r="J58" s="474">
        <f t="shared" si="25"/>
        <v>396.67800000000005</v>
      </c>
      <c r="K58" s="474">
        <f t="shared" si="25"/>
        <v>374.86399999999998</v>
      </c>
      <c r="L58" s="474">
        <f t="shared" si="25"/>
        <v>368.75899999999996</v>
      </c>
      <c r="M58" s="474">
        <f t="shared" si="25"/>
        <v>391.45400000000006</v>
      </c>
      <c r="N58" s="474">
        <f t="shared" si="25"/>
        <v>429.27500000000003</v>
      </c>
      <c r="O58" s="474">
        <f t="shared" si="25"/>
        <v>443.45199999999988</v>
      </c>
      <c r="P58" s="474">
        <f t="shared" si="25"/>
        <v>472.14785199999994</v>
      </c>
      <c r="Q58" s="474">
        <f t="shared" si="25"/>
        <v>505.8222748</v>
      </c>
      <c r="R58" s="474">
        <f t="shared" si="25"/>
        <v>575.53603199999998</v>
      </c>
      <c r="S58" s="474">
        <f t="shared" si="25"/>
        <v>558.33886799999993</v>
      </c>
      <c r="T58" s="474">
        <f t="shared" si="25"/>
        <v>526.13292799999999</v>
      </c>
      <c r="U58" s="474">
        <f t="shared" si="25"/>
        <v>517.0365432000001</v>
      </c>
      <c r="V58" s="474">
        <f t="shared" si="25"/>
        <v>509.80372000000006</v>
      </c>
      <c r="W58" s="474">
        <f t="shared" si="25"/>
        <v>493.70394400000004</v>
      </c>
      <c r="X58" s="454">
        <f t="shared" si="25"/>
        <v>509.98094399999997</v>
      </c>
      <c r="Y58" s="454">
        <f t="shared" si="25"/>
        <v>512.38794400000006</v>
      </c>
      <c r="Z58" s="454">
        <f t="shared" si="25"/>
        <v>518.27810899999997</v>
      </c>
      <c r="AA58" s="454">
        <f t="shared" si="25"/>
        <v>539.60833000000014</v>
      </c>
      <c r="AB58" s="454">
        <f t="shared" si="25"/>
        <v>542.81632569999999</v>
      </c>
      <c r="AC58" s="454">
        <f t="shared" si="25"/>
        <v>503.82999699999993</v>
      </c>
      <c r="AD58" s="454">
        <f t="shared" si="25"/>
        <v>495.24409870414104</v>
      </c>
      <c r="AE58" s="454">
        <f t="shared" si="25"/>
        <v>497.93333286731433</v>
      </c>
      <c r="AF58" s="454">
        <f t="shared" si="25"/>
        <v>496.76336623063878</v>
      </c>
      <c r="AG58" s="454">
        <f t="shared" si="25"/>
        <v>499.63199880000002</v>
      </c>
      <c r="AH58" s="454">
        <f>AH56+AH57</f>
        <v>499.72589717230676</v>
      </c>
      <c r="AI58" s="454">
        <f t="shared" si="25"/>
        <v>503.65133986200681</v>
      </c>
      <c r="AJ58" s="454">
        <f t="shared" si="25"/>
        <v>505.60560812786423</v>
      </c>
      <c r="AK58" s="454">
        <f t="shared" si="25"/>
        <v>508.58898599999986</v>
      </c>
      <c r="AL58" s="454">
        <f t="shared" si="25"/>
        <v>511.6017603071989</v>
      </c>
      <c r="AM58" s="454">
        <f t="shared" si="25"/>
        <v>514.644220704487</v>
      </c>
      <c r="AN58" s="454">
        <f t="shared" si="25"/>
        <v>517.71665970097877</v>
      </c>
    </row>
    <row r="60" spans="2:40" x14ac:dyDescent="0.35">
      <c r="S60" s="336"/>
      <c r="T60" s="336"/>
      <c r="U60" s="336"/>
      <c r="V60" s="336"/>
      <c r="W60" s="336"/>
      <c r="X60" s="336"/>
      <c r="Y60" s="336"/>
      <c r="Z60" s="336"/>
      <c r="AA60" s="336"/>
      <c r="AB60" s="336"/>
      <c r="AC60" s="336"/>
      <c r="AD60" s="336"/>
      <c r="AE60" s="336"/>
      <c r="AF60" s="336"/>
      <c r="AG60" s="336"/>
      <c r="AH60" s="336"/>
    </row>
    <row r="61" spans="2:40" x14ac:dyDescent="0.35">
      <c r="S61" s="336"/>
      <c r="T61" s="336"/>
      <c r="U61" s="336"/>
      <c r="V61" s="336"/>
      <c r="W61" s="336"/>
      <c r="X61" s="336"/>
      <c r="Y61" s="336"/>
      <c r="Z61" s="336"/>
      <c r="AA61" s="336"/>
      <c r="AB61" s="336"/>
      <c r="AC61" s="336"/>
      <c r="AD61" s="336"/>
      <c r="AE61" s="336"/>
      <c r="AF61" s="336"/>
      <c r="AG61" s="336"/>
      <c r="AH61" s="336"/>
    </row>
    <row r="62" spans="2:40" ht="27.65" customHeight="1" x14ac:dyDescent="0.35">
      <c r="B62" s="604" t="s">
        <v>2316</v>
      </c>
      <c r="C62" s="651">
        <v>2025</v>
      </c>
      <c r="D62" s="703">
        <v>2026</v>
      </c>
      <c r="E62" s="651">
        <v>2027</v>
      </c>
      <c r="F62" s="703">
        <v>2028</v>
      </c>
      <c r="G62" s="651">
        <v>2029</v>
      </c>
      <c r="H62" s="703">
        <v>2030</v>
      </c>
      <c r="I62" s="651">
        <v>2031</v>
      </c>
      <c r="J62" s="703">
        <v>2032</v>
      </c>
      <c r="K62" s="651">
        <v>2033</v>
      </c>
      <c r="L62" s="651">
        <v>2034</v>
      </c>
      <c r="M62" s="328"/>
      <c r="S62" s="336"/>
      <c r="T62" s="336"/>
      <c r="U62" s="336"/>
      <c r="V62" s="336"/>
      <c r="W62" s="336"/>
      <c r="X62" s="336"/>
      <c r="Y62" s="336"/>
      <c r="Z62" s="336"/>
      <c r="AA62" s="336"/>
      <c r="AB62" s="336"/>
      <c r="AC62" s="336"/>
      <c r="AD62" s="336"/>
      <c r="AE62" s="336"/>
      <c r="AF62" s="336"/>
      <c r="AG62" s="336"/>
      <c r="AH62" s="336"/>
    </row>
    <row r="63" spans="2:40" ht="27.65" customHeight="1" x14ac:dyDescent="0.35">
      <c r="B63" s="1224" t="s">
        <v>2319</v>
      </c>
      <c r="C63" s="317">
        <v>517</v>
      </c>
      <c r="D63" s="317">
        <v>56977</v>
      </c>
      <c r="E63" s="859">
        <v>84223</v>
      </c>
      <c r="F63" s="859">
        <v>72705</v>
      </c>
      <c r="G63" s="859">
        <v>69841</v>
      </c>
      <c r="H63" s="850">
        <v>54218</v>
      </c>
      <c r="I63" s="850">
        <v>38209</v>
      </c>
      <c r="J63" s="850">
        <v>24480</v>
      </c>
      <c r="K63" s="872">
        <v>12174</v>
      </c>
      <c r="L63">
        <v>6324</v>
      </c>
    </row>
    <row r="64" spans="2:40" ht="27.65" customHeight="1" x14ac:dyDescent="0.35">
      <c r="B64" s="1224" t="s">
        <v>2320</v>
      </c>
      <c r="C64">
        <f>C63/1000</f>
        <v>0.51700000000000002</v>
      </c>
      <c r="D64">
        <f>D63/1000</f>
        <v>56.976999999999997</v>
      </c>
      <c r="E64">
        <f t="shared" ref="E64:L64" si="26">E63/1000</f>
        <v>84.222999999999999</v>
      </c>
      <c r="F64">
        <f t="shared" si="26"/>
        <v>72.704999999999998</v>
      </c>
      <c r="G64">
        <f t="shared" si="26"/>
        <v>69.840999999999994</v>
      </c>
      <c r="H64">
        <f t="shared" si="26"/>
        <v>54.218000000000004</v>
      </c>
      <c r="I64">
        <f t="shared" si="26"/>
        <v>38.209000000000003</v>
      </c>
      <c r="J64">
        <f t="shared" si="26"/>
        <v>24.48</v>
      </c>
      <c r="K64">
        <f t="shared" si="26"/>
        <v>12.173999999999999</v>
      </c>
      <c r="L64">
        <f t="shared" si="26"/>
        <v>6.3239999999999998</v>
      </c>
    </row>
    <row r="65" ht="27.65" customHeight="1" x14ac:dyDescent="0.35"/>
  </sheetData>
  <mergeCells count="38">
    <mergeCell ref="E54:H54"/>
    <mergeCell ref="B28:C30"/>
    <mergeCell ref="M29:P29"/>
    <mergeCell ref="I29:L29"/>
    <mergeCell ref="Q54:T54"/>
    <mergeCell ref="B49:AC51"/>
    <mergeCell ref="B47:AC48"/>
    <mergeCell ref="B53:C55"/>
    <mergeCell ref="I54:L54"/>
    <mergeCell ref="B1:AC1"/>
    <mergeCell ref="B6:C8"/>
    <mergeCell ref="E7:H7"/>
    <mergeCell ref="I7:L7"/>
    <mergeCell ref="B2:AC4"/>
    <mergeCell ref="Q7:T7"/>
    <mergeCell ref="AC7:AF7"/>
    <mergeCell ref="M7:P7"/>
    <mergeCell ref="AK7:AN7"/>
    <mergeCell ref="AG7:AJ7"/>
    <mergeCell ref="AC6:AN6"/>
    <mergeCell ref="D6:AB6"/>
    <mergeCell ref="B23:AC23"/>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s>
  <hyperlinks>
    <hyperlink ref="C41" r:id="rId1" xr:uid="{00000000-0004-0000-0F00-000000000000}"/>
    <hyperlink ref="C42" r:id="rId2" xr:uid="{00000000-0004-0000-0F00-000001000000}"/>
  </hyperlinks>
  <pageMargins left="0.7" right="0.7" top="0.75" bottom="0.75" header="0.3" footer="0.3"/>
  <pageSetup orientation="portrait" r:id="rId3"/>
  <drawing r:id="rId4"/>
  <legacy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89" zoomScaleNormal="100" workbookViewId="0">
      <pane xSplit="3" ySplit="10" topLeftCell="P11" activePane="bottomRight" state="frozen"/>
      <selection pane="topRight" activeCell="D1" sqref="D1"/>
      <selection pane="bottomLeft" activeCell="A11" sqref="A11"/>
      <selection pane="bottomRight" activeCell="AB33" sqref="AB33"/>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253" t="s">
        <v>52</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2:40" ht="14.9" customHeight="1" x14ac:dyDescent="0.35">
      <c r="B2" s="1346" t="s">
        <v>855</v>
      </c>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6"/>
      <c r="AA2" s="1346"/>
      <c r="AB2" s="1346"/>
      <c r="AC2" s="1346"/>
    </row>
    <row r="3" spans="2:40" ht="14.9" customHeight="1" x14ac:dyDescent="0.35">
      <c r="B3" s="1346"/>
      <c r="C3" s="1346"/>
      <c r="D3" s="1346"/>
      <c r="E3" s="1346"/>
      <c r="F3" s="1346"/>
      <c r="G3" s="1346"/>
      <c r="H3" s="1346"/>
      <c r="I3" s="1346"/>
      <c r="J3" s="1346"/>
      <c r="K3" s="1346"/>
      <c r="L3" s="1346"/>
      <c r="M3" s="1346"/>
      <c r="N3" s="1346"/>
      <c r="O3" s="1346"/>
      <c r="P3" s="1346"/>
      <c r="Q3" s="1346"/>
      <c r="R3" s="1346"/>
      <c r="S3" s="1346"/>
      <c r="T3" s="1346"/>
      <c r="U3" s="1346"/>
      <c r="V3" s="1346"/>
      <c r="W3" s="1346"/>
      <c r="X3" s="1346"/>
      <c r="Y3" s="1346"/>
      <c r="Z3" s="1346"/>
      <c r="AA3" s="1346"/>
      <c r="AB3" s="1346"/>
      <c r="AC3" s="1346"/>
    </row>
    <row r="4" spans="2:40" ht="5.9" customHeight="1" x14ac:dyDescent="0.35">
      <c r="B4" s="1346"/>
      <c r="C4" s="1346"/>
      <c r="D4" s="1346"/>
      <c r="E4" s="1346"/>
      <c r="F4" s="1346"/>
      <c r="G4" s="1346"/>
      <c r="H4" s="1346"/>
      <c r="I4" s="1346"/>
      <c r="J4" s="1346"/>
      <c r="K4" s="1346"/>
      <c r="L4" s="1346"/>
      <c r="M4" s="1346"/>
      <c r="N4" s="1346"/>
      <c r="O4" s="1346"/>
      <c r="P4" s="1346"/>
      <c r="Q4" s="1346"/>
      <c r="R4" s="1346"/>
      <c r="S4" s="1346"/>
      <c r="T4" s="1346"/>
      <c r="U4" s="1346"/>
      <c r="V4" s="1346"/>
      <c r="W4" s="1346"/>
      <c r="X4" s="1346"/>
      <c r="Y4" s="1346"/>
      <c r="Z4" s="1346"/>
      <c r="AA4" s="1346"/>
      <c r="AB4" s="1346"/>
      <c r="AC4" s="1346"/>
    </row>
    <row r="5" spans="2:40" ht="1.5" customHeight="1" x14ac:dyDescent="0.35">
      <c r="B5" s="1346"/>
      <c r="C5" s="1346"/>
      <c r="D5" s="1346"/>
      <c r="E5" s="1346"/>
      <c r="F5" s="1346"/>
      <c r="G5" s="1346"/>
      <c r="H5" s="1346"/>
      <c r="I5" s="1346"/>
      <c r="J5" s="1346"/>
      <c r="K5" s="1346"/>
      <c r="L5" s="1346"/>
      <c r="M5" s="1346"/>
      <c r="N5" s="1346"/>
      <c r="O5" s="1346"/>
      <c r="P5" s="1346"/>
      <c r="Q5" s="1346"/>
      <c r="R5" s="1346"/>
      <c r="S5" s="1346"/>
      <c r="T5" s="1346"/>
      <c r="U5" s="1346"/>
      <c r="V5" s="1346"/>
      <c r="W5" s="1346"/>
      <c r="X5" s="1346"/>
      <c r="Y5" s="1346"/>
      <c r="Z5" s="1346"/>
      <c r="AA5" s="1346"/>
      <c r="AB5" s="1346"/>
      <c r="AC5" s="1346"/>
    </row>
    <row r="6" spans="2:40" ht="14.9" customHeight="1" x14ac:dyDescent="0.35">
      <c r="B6" s="1346"/>
      <c r="C6" s="1346"/>
      <c r="D6" s="1346"/>
      <c r="E6" s="1346"/>
      <c r="F6" s="1346"/>
      <c r="G6" s="1346"/>
      <c r="H6" s="1346"/>
      <c r="I6" s="1346"/>
      <c r="J6" s="1346"/>
      <c r="K6" s="1346"/>
      <c r="L6" s="1346"/>
      <c r="M6" s="1346"/>
      <c r="N6" s="1346"/>
      <c r="O6" s="1346"/>
      <c r="P6" s="1346"/>
      <c r="Q6" s="1346"/>
      <c r="R6" s="1346"/>
      <c r="S6" s="1346"/>
      <c r="T6" s="1346"/>
      <c r="U6" s="1346"/>
      <c r="V6" s="1346"/>
      <c r="W6" s="1346"/>
      <c r="X6" s="1346"/>
      <c r="Y6" s="1346"/>
      <c r="Z6" s="1346"/>
      <c r="AA6" s="1346"/>
      <c r="AB6" s="1346"/>
      <c r="AC6" s="1346"/>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256" t="s">
        <v>402</v>
      </c>
      <c r="C8" s="1257"/>
      <c r="D8" s="1276" t="s">
        <v>279</v>
      </c>
      <c r="E8" s="1277"/>
      <c r="F8" s="1277"/>
      <c r="G8" s="1277"/>
      <c r="H8" s="1277"/>
      <c r="I8" s="1277"/>
      <c r="J8" s="1277"/>
      <c r="K8" s="1277"/>
      <c r="L8" s="1277"/>
      <c r="M8" s="1277"/>
      <c r="N8" s="1277"/>
      <c r="O8" s="1277"/>
      <c r="P8" s="1277"/>
      <c r="Q8" s="1277"/>
      <c r="R8" s="1277"/>
      <c r="S8" s="1277"/>
      <c r="T8" s="1277"/>
      <c r="U8" s="1277"/>
      <c r="V8" s="1277"/>
      <c r="W8" s="1277"/>
      <c r="X8" s="1277"/>
      <c r="Y8" s="1277"/>
      <c r="Z8" s="1277"/>
      <c r="AA8" s="1277"/>
      <c r="AB8" s="1278"/>
      <c r="AC8" s="1261" t="s">
        <v>280</v>
      </c>
      <c r="AD8" s="1262"/>
      <c r="AE8" s="1262"/>
      <c r="AF8" s="1262"/>
      <c r="AG8" s="1262"/>
      <c r="AH8" s="1262"/>
      <c r="AI8" s="1262"/>
      <c r="AJ8" s="1262"/>
      <c r="AK8" s="1262"/>
      <c r="AL8" s="1262"/>
      <c r="AM8" s="1262"/>
      <c r="AN8" s="1263"/>
    </row>
    <row r="9" spans="2:40" x14ac:dyDescent="0.35">
      <c r="B9" s="1258"/>
      <c r="C9" s="1350"/>
      <c r="D9" s="221">
        <v>2018</v>
      </c>
      <c r="E9" s="1347">
        <v>2019</v>
      </c>
      <c r="F9" s="1348"/>
      <c r="G9" s="1348"/>
      <c r="H9" s="1389"/>
      <c r="I9" s="1347">
        <v>2020</v>
      </c>
      <c r="J9" s="1348"/>
      <c r="K9" s="1348"/>
      <c r="L9" s="1348"/>
      <c r="M9" s="1347">
        <v>2021</v>
      </c>
      <c r="N9" s="1348"/>
      <c r="O9" s="1348"/>
      <c r="P9" s="1348"/>
      <c r="Q9" s="1264">
        <v>2022</v>
      </c>
      <c r="R9" s="1265"/>
      <c r="S9" s="1265"/>
      <c r="T9" s="1265"/>
      <c r="U9" s="1264">
        <v>2023</v>
      </c>
      <c r="V9" s="1265"/>
      <c r="W9" s="1265"/>
      <c r="X9" s="1266"/>
      <c r="Y9" s="453"/>
      <c r="Z9" s="439">
        <v>2024</v>
      </c>
      <c r="AA9" s="439"/>
      <c r="AB9" s="306"/>
      <c r="AC9" s="1270">
        <v>2025</v>
      </c>
      <c r="AD9" s="1352"/>
      <c r="AE9" s="1352"/>
      <c r="AF9" s="1272"/>
      <c r="AG9" s="1270">
        <v>2026</v>
      </c>
      <c r="AH9" s="1271"/>
      <c r="AI9" s="1271"/>
      <c r="AJ9" s="1272"/>
      <c r="AK9" s="1270">
        <v>2027</v>
      </c>
      <c r="AL9" s="1271"/>
      <c r="AM9" s="1271"/>
      <c r="AN9" s="1272"/>
    </row>
    <row r="10" spans="2:40" x14ac:dyDescent="0.35">
      <c r="B10" s="1274"/>
      <c r="C10" s="1351"/>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2" t="s">
        <v>281</v>
      </c>
      <c r="U10" s="282" t="s">
        <v>282</v>
      </c>
      <c r="V10" s="283" t="s">
        <v>283</v>
      </c>
      <c r="W10" s="283" t="s">
        <v>238</v>
      </c>
      <c r="X10" s="281" t="s">
        <v>281</v>
      </c>
      <c r="Y10" s="282" t="s">
        <v>282</v>
      </c>
      <c r="Z10" s="288" t="s">
        <v>283</v>
      </c>
      <c r="AA10" s="283" t="s">
        <v>238</v>
      </c>
      <c r="AB10" s="283" t="s">
        <v>281</v>
      </c>
      <c r="AC10" s="282" t="s">
        <v>282</v>
      </c>
      <c r="AD10" s="267" t="s">
        <v>283</v>
      </c>
      <c r="AE10" s="269" t="s">
        <v>238</v>
      </c>
      <c r="AF10" s="269" t="s">
        <v>281</v>
      </c>
      <c r="AG10" s="232" t="s">
        <v>282</v>
      </c>
      <c r="AH10" s="267" t="s">
        <v>283</v>
      </c>
      <c r="AI10" s="267" t="s">
        <v>238</v>
      </c>
      <c r="AJ10" s="286" t="s">
        <v>281</v>
      </c>
      <c r="AK10" s="232" t="s">
        <v>282</v>
      </c>
      <c r="AL10" s="267" t="s">
        <v>283</v>
      </c>
      <c r="AM10" s="267" t="s">
        <v>238</v>
      </c>
      <c r="AN10" s="286" t="s">
        <v>281</v>
      </c>
    </row>
    <row r="11" spans="2:40" x14ac:dyDescent="0.35">
      <c r="B11" s="532" t="s">
        <v>861</v>
      </c>
      <c r="C11" s="55" t="s">
        <v>517</v>
      </c>
      <c r="D11" s="504"/>
      <c r="E11" s="538"/>
      <c r="F11" s="542">
        <v>60.5</v>
      </c>
      <c r="G11" s="542">
        <v>81.400000000000006</v>
      </c>
      <c r="H11" s="542">
        <f>'Haver Pivoted'!GS42</f>
        <v>82.1</v>
      </c>
      <c r="I11" s="542">
        <f>'Haver Pivoted'!GT42</f>
        <v>80</v>
      </c>
      <c r="J11" s="542">
        <f>'Haver Pivoted'!GU42</f>
        <v>1031.8</v>
      </c>
      <c r="K11" s="542">
        <f>'Haver Pivoted'!GV42</f>
        <v>1163.3</v>
      </c>
      <c r="L11" s="542">
        <f>'Haver Pivoted'!GW42</f>
        <v>516.4</v>
      </c>
      <c r="M11" s="542">
        <f>'Haver Pivoted'!GX42</f>
        <v>518.1</v>
      </c>
      <c r="N11" s="542">
        <f>'Haver Pivoted'!GY42</f>
        <v>822</v>
      </c>
      <c r="O11" s="542">
        <f>'Haver Pivoted'!GZ42</f>
        <v>673.4</v>
      </c>
      <c r="P11" s="542">
        <f>'Haver Pivoted'!HA42</f>
        <v>413.4</v>
      </c>
      <c r="Q11" s="542">
        <f>'Haver Pivoted'!HB42</f>
        <v>150.80000000000001</v>
      </c>
      <c r="R11" s="542">
        <f>'Haver Pivoted'!HC42</f>
        <v>129.30000000000001</v>
      </c>
      <c r="S11" s="543">
        <f>'Haver Pivoted'!HD42</f>
        <v>118.4</v>
      </c>
      <c r="T11" s="543">
        <f>'Haver Pivoted'!HE42</f>
        <v>110.8</v>
      </c>
      <c r="U11" s="350">
        <f>'Haver Pivoted'!HF42</f>
        <v>103.8</v>
      </c>
      <c r="V11" s="350">
        <f>'Haver Pivoted'!HG42</f>
        <v>101.8</v>
      </c>
      <c r="W11" s="350">
        <f>'Haver Pivoted'!HH42</f>
        <v>104</v>
      </c>
      <c r="X11" s="350">
        <f>'Haver Pivoted'!HI42</f>
        <v>98.9</v>
      </c>
      <c r="Y11" s="350">
        <f>'Haver Pivoted'!HJ42</f>
        <v>96.1</v>
      </c>
      <c r="Z11" s="350">
        <f>'Haver Pivoted'!HK42</f>
        <v>93.7</v>
      </c>
      <c r="AA11" s="350">
        <f>'Haver Pivoted'!HL42</f>
        <v>92.1</v>
      </c>
      <c r="AB11" s="350">
        <f>'Haver Pivoted'!HM42</f>
        <v>93.5</v>
      </c>
      <c r="AC11" s="350">
        <f>'Haver Pivoted'!HN42</f>
        <v>104.1</v>
      </c>
      <c r="AD11" s="519">
        <f t="shared" ref="AD11:AE11" si="0">AD12+AD13</f>
        <v>96.078000000000003</v>
      </c>
      <c r="AE11" s="519">
        <f t="shared" si="0"/>
        <v>96.078000000000003</v>
      </c>
      <c r="AF11" s="519">
        <f t="shared" ref="AF11" si="1">AF12+AF13</f>
        <v>99.167999999999992</v>
      </c>
      <c r="AG11" s="354">
        <f>AG12+AG13</f>
        <v>99.167999999999992</v>
      </c>
      <c r="AH11" s="354">
        <f>AH12+AH13</f>
        <v>99.167999999999992</v>
      </c>
      <c r="AI11" s="354">
        <f t="shared" ref="AI11" si="2">AI12+AI13</f>
        <v>99.167999999999992</v>
      </c>
      <c r="AJ11" s="354">
        <f>AJ12+AJ13</f>
        <v>99.167999999999992</v>
      </c>
      <c r="AK11" s="354">
        <f t="shared" ref="AK11:AN11" si="3">AK12+AK13</f>
        <v>99.167999999999992</v>
      </c>
      <c r="AL11" s="354">
        <f t="shared" si="3"/>
        <v>99.167999999999992</v>
      </c>
      <c r="AM11" s="354">
        <f t="shared" si="3"/>
        <v>99.167999999999992</v>
      </c>
      <c r="AN11" s="354">
        <f t="shared" si="3"/>
        <v>99.167999999999992</v>
      </c>
    </row>
    <row r="12" spans="2:40" ht="16.5" customHeight="1" x14ac:dyDescent="0.35">
      <c r="B12" s="429" t="s">
        <v>403</v>
      </c>
      <c r="C12" s="55"/>
      <c r="D12" s="532"/>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0">
        <f t="shared" si="5"/>
        <v>75.7</v>
      </c>
      <c r="T12" s="350">
        <f t="shared" si="5"/>
        <v>78.977999999999994</v>
      </c>
      <c r="U12" s="350">
        <f t="shared" ref="U12:V12" si="6">U11-U13</f>
        <v>91.292000000000002</v>
      </c>
      <c r="V12" s="350">
        <f t="shared" si="6"/>
        <v>89.292000000000002</v>
      </c>
      <c r="W12" s="350">
        <f t="shared" ref="W12:AB12" si="7">W11-W13</f>
        <v>91.49199999999999</v>
      </c>
      <c r="X12" s="350">
        <f t="shared" si="7"/>
        <v>89.269000000000005</v>
      </c>
      <c r="Y12" s="350">
        <f t="shared" si="7"/>
        <v>86.468999999999994</v>
      </c>
      <c r="Z12" s="350">
        <f t="shared" si="7"/>
        <v>84.069000000000003</v>
      </c>
      <c r="AA12" s="350">
        <f t="shared" si="7"/>
        <v>82.468999999999994</v>
      </c>
      <c r="AB12" s="350">
        <f t="shared" si="7"/>
        <v>79.036000000000001</v>
      </c>
      <c r="AC12" s="350">
        <f>AC11-AC13</f>
        <v>89.635999999999996</v>
      </c>
      <c r="AD12" s="354">
        <f>AC12</f>
        <v>89.635999999999996</v>
      </c>
      <c r="AE12" s="354">
        <f t="shared" ref="AE12:AF12" si="8">AD12</f>
        <v>89.635999999999996</v>
      </c>
      <c r="AF12" s="354">
        <f t="shared" si="8"/>
        <v>89.635999999999996</v>
      </c>
      <c r="AG12" s="354">
        <f>AF12</f>
        <v>89.635999999999996</v>
      </c>
      <c r="AH12" s="354">
        <f>AG12</f>
        <v>89.635999999999996</v>
      </c>
      <c r="AI12" s="354">
        <f>AH12</f>
        <v>89.635999999999996</v>
      </c>
      <c r="AJ12" s="354">
        <f>AI12</f>
        <v>89.635999999999996</v>
      </c>
      <c r="AK12" s="354">
        <f t="shared" ref="AK12:AN12" si="9">AJ12</f>
        <v>89.635999999999996</v>
      </c>
      <c r="AL12" s="354">
        <f t="shared" si="9"/>
        <v>89.635999999999996</v>
      </c>
      <c r="AM12" s="354">
        <f t="shared" si="9"/>
        <v>89.635999999999996</v>
      </c>
      <c r="AN12" s="354">
        <f t="shared" si="9"/>
        <v>89.635999999999996</v>
      </c>
    </row>
    <row r="13" spans="2:40" x14ac:dyDescent="0.35">
      <c r="B13" s="428" t="s">
        <v>404</v>
      </c>
      <c r="C13" s="55"/>
      <c r="D13" s="532"/>
      <c r="E13" s="55"/>
      <c r="F13" s="540"/>
      <c r="G13" s="540"/>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4">
        <f t="shared" si="11"/>
        <v>9.6310000000000002</v>
      </c>
      <c r="Z13" s="354">
        <f t="shared" si="11"/>
        <v>9.6310000000000002</v>
      </c>
      <c r="AA13" s="354">
        <f t="shared" si="11"/>
        <v>9.6310000000000002</v>
      </c>
      <c r="AB13" s="354">
        <f t="shared" si="11"/>
        <v>14.464</v>
      </c>
      <c r="AC13" s="354">
        <f>SUM(AC16:AC27)+AC14</f>
        <v>14.464</v>
      </c>
      <c r="AD13" s="354">
        <f t="shared" ref="AD13:AE13" si="12">SUM(AD16:AD27)+AD14</f>
        <v>6.4420000000000002</v>
      </c>
      <c r="AE13" s="354">
        <f t="shared" si="12"/>
        <v>6.4420000000000002</v>
      </c>
      <c r="AF13" s="354">
        <f t="shared" ref="AF13:AH13" si="13">SUM(AF16:AF27)+AF14</f>
        <v>9.532</v>
      </c>
      <c r="AG13" s="354">
        <f>SUM(AG16:AG27)+AG14</f>
        <v>9.532</v>
      </c>
      <c r="AH13" s="354">
        <f t="shared" si="13"/>
        <v>9.532</v>
      </c>
      <c r="AI13" s="354">
        <f t="shared" ref="AI13" si="14">SUM(AI16:AI27)+AI14</f>
        <v>9.532</v>
      </c>
      <c r="AJ13" s="354">
        <f>SUM(AJ16:AJ27)+AJ14</f>
        <v>9.532</v>
      </c>
      <c r="AK13" s="354">
        <f>SUM(AK16:AK27)+AK14</f>
        <v>9.532</v>
      </c>
      <c r="AL13" s="354">
        <f t="shared" ref="AL13:AN13" si="15">SUM(AL16:AL27)+AL14</f>
        <v>9.532</v>
      </c>
      <c r="AM13" s="354">
        <f t="shared" si="15"/>
        <v>9.532</v>
      </c>
      <c r="AN13" s="354">
        <f t="shared" si="15"/>
        <v>9.532</v>
      </c>
    </row>
    <row r="14" spans="2:40" x14ac:dyDescent="0.35">
      <c r="B14" s="371" t="s">
        <v>50</v>
      </c>
      <c r="C14" s="36" t="s">
        <v>328</v>
      </c>
      <c r="D14" s="368"/>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0">
        <f>'Haver Pivoted'!HD49</f>
        <v>0</v>
      </c>
      <c r="T14" s="350">
        <f>'Haver Pivoted'!HE49</f>
        <v>0</v>
      </c>
      <c r="U14" s="350">
        <f>'Haver Pivoted'!HF49</f>
        <v>0</v>
      </c>
      <c r="V14" s="350">
        <f>'Haver Pivoted'!HG49</f>
        <v>0</v>
      </c>
      <c r="W14" s="550">
        <f>'Haver Pivoted'!HH49</f>
        <v>0</v>
      </c>
      <c r="X14" s="550">
        <f>'Haver Pivoted'!HI49</f>
        <v>0</v>
      </c>
      <c r="Y14" s="550">
        <f>'Haver Pivoted'!HJ49</f>
        <v>0</v>
      </c>
      <c r="Z14" s="550">
        <f>'Haver Pivoted'!HK49</f>
        <v>0</v>
      </c>
      <c r="AA14" s="550">
        <f>'Haver Pivoted'!HL49</f>
        <v>0</v>
      </c>
      <c r="AB14" s="550">
        <f>'Haver Pivoted'!HM49</f>
        <v>0</v>
      </c>
      <c r="AC14" s="550">
        <f>'Haver Pivoted'!HN49</f>
        <v>0</v>
      </c>
      <c r="AD14" s="225"/>
      <c r="AE14" s="225"/>
      <c r="AF14" s="225"/>
      <c r="AG14" s="225"/>
      <c r="AH14" s="225"/>
      <c r="AI14" s="225"/>
      <c r="AJ14" s="225"/>
      <c r="AK14" s="225"/>
      <c r="AL14" s="225"/>
      <c r="AM14" s="225"/>
      <c r="AN14" s="225"/>
    </row>
    <row r="15" spans="2:40" x14ac:dyDescent="0.35">
      <c r="B15" s="428" t="s">
        <v>405</v>
      </c>
      <c r="C15" s="55"/>
      <c r="D15" s="532"/>
      <c r="E15" s="55"/>
      <c r="F15" s="540"/>
      <c r="G15" s="540"/>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08">
        <f t="shared" si="16"/>
        <v>8.886000000000001</v>
      </c>
      <c r="X15" s="54">
        <f t="shared" si="16"/>
        <v>0.2</v>
      </c>
      <c r="Y15" s="520">
        <f t="shared" si="16"/>
        <v>0.2</v>
      </c>
      <c r="Z15" s="520">
        <f t="shared" si="16"/>
        <v>0.2</v>
      </c>
      <c r="AA15" s="520">
        <f t="shared" si="16"/>
        <v>0.2</v>
      </c>
      <c r="AB15" s="520">
        <f t="shared" si="16"/>
        <v>0</v>
      </c>
      <c r="AC15" s="520">
        <f t="shared" si="16"/>
        <v>0</v>
      </c>
      <c r="AD15" s="520">
        <f t="shared" ref="AD15:AE15" si="17">SUM(AD16:AD25)</f>
        <v>0</v>
      </c>
      <c r="AE15" s="520">
        <f t="shared" si="17"/>
        <v>0</v>
      </c>
      <c r="AF15" s="520">
        <f t="shared" ref="AF15:AG15" si="18">SUM(AF16:AF25)</f>
        <v>0</v>
      </c>
      <c r="AG15" s="520">
        <f t="shared" si="18"/>
        <v>0</v>
      </c>
      <c r="AH15" s="520"/>
      <c r="AI15" s="520"/>
      <c r="AJ15" s="520"/>
      <c r="AK15" s="520"/>
      <c r="AL15" s="520"/>
      <c r="AM15" s="520"/>
      <c r="AN15" s="520"/>
    </row>
    <row r="16" spans="2:40" x14ac:dyDescent="0.35">
      <c r="B16" s="529" t="s">
        <v>145</v>
      </c>
      <c r="C16" s="39" t="s">
        <v>406</v>
      </c>
      <c r="D16" s="433"/>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0">
        <f>'Haver Pivoted'!HD53</f>
        <v>0</v>
      </c>
      <c r="T16" s="350">
        <f>'Haver Pivoted'!HE53</f>
        <v>0</v>
      </c>
      <c r="U16" s="350">
        <f>'Haver Pivoted'!HF53</f>
        <v>0</v>
      </c>
      <c r="V16" s="350">
        <f>'Haver Pivoted'!HG53</f>
        <v>0</v>
      </c>
      <c r="W16" s="550">
        <f>'Haver Pivoted'!HH53</f>
        <v>0</v>
      </c>
      <c r="X16" s="550">
        <f>'Haver Pivoted'!HI53</f>
        <v>0</v>
      </c>
      <c r="Y16" s="550">
        <f>'Haver Pivoted'!HJ53</f>
        <v>0</v>
      </c>
      <c r="Z16" s="550">
        <f>'Haver Pivoted'!HK53</f>
        <v>0</v>
      </c>
      <c r="AA16" s="550">
        <f>'Haver Pivoted'!HL53</f>
        <v>0</v>
      </c>
      <c r="AB16" s="550">
        <f>'Haver Pivoted'!HM53</f>
        <v>0</v>
      </c>
      <c r="AC16" s="550">
        <f>'Haver Pivoted'!HN53</f>
        <v>0</v>
      </c>
      <c r="AD16" s="225"/>
      <c r="AE16" s="225"/>
      <c r="AF16" s="225"/>
      <c r="AG16" s="225"/>
      <c r="AH16" s="225"/>
      <c r="AI16" s="225"/>
      <c r="AJ16" s="225"/>
      <c r="AK16" s="225"/>
      <c r="AL16" s="225"/>
      <c r="AM16" s="225"/>
      <c r="AN16" s="225"/>
    </row>
    <row r="17" spans="2:40" x14ac:dyDescent="0.35">
      <c r="B17" s="529" t="s">
        <v>143</v>
      </c>
      <c r="C17" s="39" t="s">
        <v>407</v>
      </c>
      <c r="D17" s="433"/>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0">
        <f>'Haver Pivoted'!HD51</f>
        <v>0</v>
      </c>
      <c r="T17" s="350">
        <f>'Haver Pivoted'!HE51</f>
        <v>0</v>
      </c>
      <c r="U17" s="350">
        <f>'Haver Pivoted'!HF51</f>
        <v>0</v>
      </c>
      <c r="V17" s="350">
        <f>'Haver Pivoted'!HG51</f>
        <v>0</v>
      </c>
      <c r="W17" s="550">
        <f>'Haver Pivoted'!HH51</f>
        <v>0</v>
      </c>
      <c r="X17" s="550">
        <f>'Haver Pivoted'!HI51</f>
        <v>0</v>
      </c>
      <c r="Y17" s="550">
        <f>'Haver Pivoted'!HJ51</f>
        <v>0</v>
      </c>
      <c r="Z17" s="550">
        <f>'Haver Pivoted'!HK51</f>
        <v>0</v>
      </c>
      <c r="AA17" s="550">
        <f>'Haver Pivoted'!HL51</f>
        <v>0</v>
      </c>
      <c r="AB17" s="550">
        <f>'Haver Pivoted'!HM51</f>
        <v>0</v>
      </c>
      <c r="AC17" s="550">
        <f>'Haver Pivoted'!HN51</f>
        <v>0</v>
      </c>
      <c r="AD17" s="354">
        <f t="shared" ref="AD17" si="19">AC17</f>
        <v>0</v>
      </c>
      <c r="AE17" s="354">
        <f t="shared" ref="AE17" si="20">AD17</f>
        <v>0</v>
      </c>
      <c r="AF17" s="354">
        <f t="shared" ref="AF17" si="21">AE17</f>
        <v>0</v>
      </c>
      <c r="AG17" s="354">
        <f t="shared" ref="AG17:AH17" si="22">AF17</f>
        <v>0</v>
      </c>
      <c r="AH17" s="354">
        <f t="shared" si="22"/>
        <v>0</v>
      </c>
      <c r="AI17" s="354">
        <f t="shared" ref="AI17" si="23">AH17</f>
        <v>0</v>
      </c>
      <c r="AJ17" s="354">
        <f t="shared" ref="AJ17" si="24">AI17</f>
        <v>0</v>
      </c>
      <c r="AK17" s="354">
        <f t="shared" ref="AK17" si="25">AJ17</f>
        <v>0</v>
      </c>
      <c r="AL17" s="354">
        <f t="shared" ref="AL17" si="26">AK17</f>
        <v>0</v>
      </c>
      <c r="AM17" s="354">
        <f t="shared" ref="AM17" si="27">AL17</f>
        <v>0</v>
      </c>
      <c r="AN17" s="354">
        <f t="shared" ref="AN17" si="28">AM17</f>
        <v>0</v>
      </c>
    </row>
    <row r="18" spans="2:40" x14ac:dyDescent="0.35">
      <c r="B18" s="529" t="s">
        <v>142</v>
      </c>
      <c r="C18" s="36" t="s">
        <v>408</v>
      </c>
      <c r="D18" s="368"/>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0">
        <f>'Haver Pivoted'!HD50</f>
        <v>0.3</v>
      </c>
      <c r="T18" s="350">
        <f>'Haver Pivoted'!HE50</f>
        <v>0.4</v>
      </c>
      <c r="U18" s="350">
        <f>'Haver Pivoted'!HF50</f>
        <v>0</v>
      </c>
      <c r="V18" s="350">
        <f>'Haver Pivoted'!HG50</f>
        <v>0</v>
      </c>
      <c r="W18" s="550">
        <f>'Haver Pivoted'!HH50</f>
        <v>0</v>
      </c>
      <c r="X18" s="550">
        <f>'Haver Pivoted'!HI50</f>
        <v>0</v>
      </c>
      <c r="Y18" s="550">
        <f>'Haver Pivoted'!HJ50</f>
        <v>0</v>
      </c>
      <c r="Z18" s="550">
        <f>'Haver Pivoted'!HK50</f>
        <v>0</v>
      </c>
      <c r="AA18" s="550">
        <f>'Haver Pivoted'!HL50</f>
        <v>0</v>
      </c>
      <c r="AB18" s="550">
        <f>'Haver Pivoted'!HM50</f>
        <v>0</v>
      </c>
      <c r="AC18" s="550">
        <f>'Haver Pivoted'!HN50</f>
        <v>0</v>
      </c>
      <c r="AD18" s="354">
        <f t="shared" ref="AD18:AE18" si="29">AD30</f>
        <v>0</v>
      </c>
      <c r="AE18" s="354">
        <f t="shared" si="29"/>
        <v>0</v>
      </c>
      <c r="AF18" s="354">
        <f t="shared" ref="AF18:AG18" si="30">AF30</f>
        <v>0</v>
      </c>
      <c r="AG18" s="354">
        <f t="shared" si="30"/>
        <v>0</v>
      </c>
      <c r="AH18" s="354">
        <f t="shared" ref="AH18:AJ18" si="31">AH30</f>
        <v>0</v>
      </c>
      <c r="AI18" s="354">
        <f t="shared" si="31"/>
        <v>0</v>
      </c>
      <c r="AJ18" s="354">
        <f t="shared" si="31"/>
        <v>0</v>
      </c>
      <c r="AK18" s="354">
        <f t="shared" ref="AK18:AN18" si="32">AK30</f>
        <v>0</v>
      </c>
      <c r="AL18" s="354">
        <f t="shared" si="32"/>
        <v>0</v>
      </c>
      <c r="AM18" s="354">
        <f t="shared" si="32"/>
        <v>0</v>
      </c>
      <c r="AN18" s="354">
        <f t="shared" si="32"/>
        <v>0</v>
      </c>
    </row>
    <row r="19" spans="2:40" x14ac:dyDescent="0.35">
      <c r="B19" s="529" t="s">
        <v>409</v>
      </c>
      <c r="C19" s="36" t="s">
        <v>308</v>
      </c>
      <c r="D19" s="368"/>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0">
        <f>'Haver Pivoted'!HD54</f>
        <v>5.9</v>
      </c>
      <c r="T19" s="350">
        <f>'Haver Pivoted'!HE54</f>
        <v>3.6</v>
      </c>
      <c r="U19" s="350">
        <f>'Haver Pivoted'!HF54</f>
        <v>0</v>
      </c>
      <c r="V19" s="350">
        <f>'Haver Pivoted'!HG54</f>
        <v>0</v>
      </c>
      <c r="W19" s="550">
        <f>'Haver Pivoted'!HH54</f>
        <v>0</v>
      </c>
      <c r="X19" s="550">
        <f>'Haver Pivoted'!HI54</f>
        <v>0</v>
      </c>
      <c r="Y19" s="550">
        <f>'Haver Pivoted'!HJ54</f>
        <v>0</v>
      </c>
      <c r="Z19" s="550">
        <f>'Haver Pivoted'!HK54</f>
        <v>0</v>
      </c>
      <c r="AA19" s="550">
        <f>'Haver Pivoted'!HL54</f>
        <v>0</v>
      </c>
      <c r="AB19" s="550">
        <f>'Haver Pivoted'!HM54</f>
        <v>0</v>
      </c>
      <c r="AC19" s="550">
        <f>'Haver Pivoted'!HN54</f>
        <v>0</v>
      </c>
      <c r="AD19" s="225"/>
      <c r="AE19" s="225"/>
      <c r="AF19" s="225"/>
      <c r="AG19" s="225"/>
      <c r="AH19" s="225"/>
      <c r="AI19" s="225"/>
      <c r="AJ19" s="225"/>
      <c r="AK19" s="225"/>
      <c r="AL19" s="225"/>
      <c r="AM19" s="225"/>
      <c r="AN19" s="225"/>
    </row>
    <row r="20" spans="2:40" x14ac:dyDescent="0.35">
      <c r="B20" s="529" t="s">
        <v>144</v>
      </c>
      <c r="C20" s="36" t="s">
        <v>410</v>
      </c>
      <c r="D20" s="368"/>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0">
        <f>'Haver Pivoted'!HD52</f>
        <v>20.2</v>
      </c>
      <c r="T20" s="350">
        <f>'Haver Pivoted'!HE52</f>
        <v>15.8</v>
      </c>
      <c r="U20" s="37">
        <f t="shared" ref="U20:AC20" si="33">U37</f>
        <v>0.48599999999999993</v>
      </c>
      <c r="V20" s="37">
        <f t="shared" si="33"/>
        <v>0.48599999999999993</v>
      </c>
      <c r="W20" s="408">
        <f t="shared" si="33"/>
        <v>0.48599999999999993</v>
      </c>
      <c r="X20" s="37">
        <f t="shared" si="33"/>
        <v>0</v>
      </c>
      <c r="Y20" s="354">
        <f t="shared" si="33"/>
        <v>0</v>
      </c>
      <c r="Z20" s="354">
        <f t="shared" si="33"/>
        <v>0</v>
      </c>
      <c r="AA20" s="354">
        <f t="shared" si="33"/>
        <v>0</v>
      </c>
      <c r="AB20" s="354">
        <f t="shared" si="33"/>
        <v>0</v>
      </c>
      <c r="AC20" s="354">
        <f t="shared" si="33"/>
        <v>0</v>
      </c>
      <c r="AD20" s="354">
        <f t="shared" ref="AD20:AE20" si="34">AD37</f>
        <v>0</v>
      </c>
      <c r="AE20" s="354">
        <f t="shared" si="34"/>
        <v>0</v>
      </c>
      <c r="AF20" s="354">
        <f t="shared" ref="AF20:AG20" si="35">AF37</f>
        <v>0</v>
      </c>
      <c r="AG20" s="354">
        <f t="shared" si="35"/>
        <v>0</v>
      </c>
      <c r="AH20" s="354">
        <f t="shared" ref="AH20:AJ20" si="36">AH37</f>
        <v>0</v>
      </c>
      <c r="AI20" s="354">
        <f t="shared" si="36"/>
        <v>0</v>
      </c>
      <c r="AJ20" s="354">
        <f t="shared" si="36"/>
        <v>0</v>
      </c>
      <c r="AK20" s="354">
        <f t="shared" ref="AK20:AN20" si="37">AK37</f>
        <v>0</v>
      </c>
      <c r="AL20" s="354">
        <f t="shared" si="37"/>
        <v>0</v>
      </c>
      <c r="AM20" s="354">
        <f t="shared" si="37"/>
        <v>0</v>
      </c>
      <c r="AN20" s="354">
        <f t="shared" si="37"/>
        <v>0</v>
      </c>
    </row>
    <row r="21" spans="2:40" x14ac:dyDescent="0.35">
      <c r="B21" s="529" t="s">
        <v>148</v>
      </c>
      <c r="C21" s="36" t="s">
        <v>411</v>
      </c>
      <c r="D21" s="368"/>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0">
        <f>'Haver Pivoted'!HD55</f>
        <v>0</v>
      </c>
      <c r="T21" s="350">
        <f>'Haver Pivoted'!HE55</f>
        <v>0</v>
      </c>
      <c r="U21" s="350">
        <f>'Haver Pivoted'!HF55</f>
        <v>0</v>
      </c>
      <c r="V21" s="350">
        <f>'Haver Pivoted'!HG55</f>
        <v>0</v>
      </c>
      <c r="W21" s="550">
        <f>'Haver Pivoted'!HH55</f>
        <v>0</v>
      </c>
      <c r="X21" s="550">
        <f>'Haver Pivoted'!HI55</f>
        <v>0</v>
      </c>
      <c r="Y21" s="550">
        <f>'Haver Pivoted'!HJ55</f>
        <v>0</v>
      </c>
      <c r="Z21" s="550">
        <f>'Haver Pivoted'!HK55</f>
        <v>0</v>
      </c>
      <c r="AA21" s="550">
        <f>'Haver Pivoted'!HL55</f>
        <v>0</v>
      </c>
      <c r="AB21" s="550">
        <f>'Haver Pivoted'!HM55</f>
        <v>0</v>
      </c>
      <c r="AC21" s="550">
        <f>'Haver Pivoted'!HN55</f>
        <v>0</v>
      </c>
      <c r="AD21" s="354">
        <f t="shared" ref="AD21" si="38">AC21</f>
        <v>0</v>
      </c>
      <c r="AE21" s="354">
        <f t="shared" ref="AE21" si="39">AD21</f>
        <v>0</v>
      </c>
      <c r="AF21" s="354">
        <f t="shared" ref="AF21" si="40">AE21</f>
        <v>0</v>
      </c>
      <c r="AG21" s="354">
        <f t="shared" ref="AG21:AH21" si="41">AF21</f>
        <v>0</v>
      </c>
      <c r="AH21" s="354">
        <f t="shared" si="41"/>
        <v>0</v>
      </c>
      <c r="AI21" s="354">
        <f t="shared" ref="AI21" si="42">AH21</f>
        <v>0</v>
      </c>
      <c r="AJ21" s="354">
        <f t="shared" ref="AJ21" si="43">AI21</f>
        <v>0</v>
      </c>
      <c r="AK21" s="354">
        <f t="shared" ref="AK21" si="44">AJ21</f>
        <v>0</v>
      </c>
      <c r="AL21" s="354">
        <f t="shared" ref="AL21" si="45">AK21</f>
        <v>0</v>
      </c>
      <c r="AM21" s="354">
        <f t="shared" ref="AM21" si="46">AL21</f>
        <v>0</v>
      </c>
      <c r="AN21" s="354">
        <f t="shared" ref="AN21" si="47">AM21</f>
        <v>0</v>
      </c>
    </row>
    <row r="22" spans="2:40" x14ac:dyDescent="0.35">
      <c r="B22" s="529" t="s">
        <v>412</v>
      </c>
      <c r="C22" s="36" t="s">
        <v>785</v>
      </c>
      <c r="D22" s="380"/>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0">
        <f>'Haver Pivoted'!HD87</f>
        <v>0</v>
      </c>
      <c r="T22" s="350">
        <f>'Haver Pivoted'!HE87</f>
        <v>0</v>
      </c>
      <c r="U22" s="350">
        <f>'Haver Pivoted'!HF87</f>
        <v>0</v>
      </c>
      <c r="V22" s="350">
        <f>'Haver Pivoted'!HG87</f>
        <v>0</v>
      </c>
      <c r="W22" s="550">
        <f>'Haver Pivoted'!HH87</f>
        <v>0</v>
      </c>
      <c r="X22" s="550">
        <f>'Haver Pivoted'!HI87</f>
        <v>0</v>
      </c>
      <c r="Y22" s="550">
        <f>'Haver Pivoted'!HJ87</f>
        <v>0</v>
      </c>
      <c r="Z22" s="550">
        <f>'Haver Pivoted'!HK87</f>
        <v>0</v>
      </c>
      <c r="AA22" s="550">
        <f>'Haver Pivoted'!HL87</f>
        <v>0</v>
      </c>
      <c r="AB22" s="550">
        <f>'Haver Pivoted'!HM87</f>
        <v>0</v>
      </c>
      <c r="AC22" s="550">
        <f>'Haver Pivoted'!HN87</f>
        <v>0</v>
      </c>
      <c r="AD22" s="354">
        <v>0</v>
      </c>
      <c r="AE22" s="354">
        <v>0</v>
      </c>
      <c r="AF22" s="354">
        <v>0</v>
      </c>
      <c r="AG22" s="354">
        <v>0</v>
      </c>
      <c r="AH22" s="354">
        <v>0</v>
      </c>
      <c r="AI22" s="354">
        <v>0</v>
      </c>
      <c r="AJ22" s="354">
        <v>0</v>
      </c>
      <c r="AK22" s="354">
        <v>0</v>
      </c>
      <c r="AL22" s="354">
        <v>0</v>
      </c>
      <c r="AM22" s="354">
        <v>0</v>
      </c>
      <c r="AN22" s="354">
        <v>0</v>
      </c>
    </row>
    <row r="23" spans="2:40" x14ac:dyDescent="0.35">
      <c r="B23" s="529" t="s">
        <v>413</v>
      </c>
      <c r="C23" s="36" t="s">
        <v>784</v>
      </c>
      <c r="D23" s="368"/>
      <c r="E23" s="36"/>
      <c r="F23" s="54"/>
      <c r="G23" s="541"/>
      <c r="H23" s="54"/>
      <c r="I23" s="54"/>
      <c r="J23" s="54"/>
      <c r="K23" s="54"/>
      <c r="L23" s="54"/>
      <c r="M23" s="54"/>
      <c r="N23" s="54">
        <f>'Haver Pivoted'!GY86</f>
        <v>21.4</v>
      </c>
      <c r="O23" s="54">
        <f>'Haver Pivoted'!GZ86</f>
        <v>57</v>
      </c>
      <c r="P23" s="54">
        <f>'Haver Pivoted'!HA86</f>
        <v>35.5</v>
      </c>
      <c r="Q23" s="54">
        <f>'Haver Pivoted'!HB86</f>
        <v>0</v>
      </c>
      <c r="R23" s="54">
        <f>'Haver Pivoted'!HC86</f>
        <v>0</v>
      </c>
      <c r="S23" s="350">
        <f>'Haver Pivoted'!HD86</f>
        <v>0</v>
      </c>
      <c r="T23" s="350">
        <f>'Haver Pivoted'!HE86</f>
        <v>0</v>
      </c>
      <c r="U23" s="350">
        <f>'Haver Pivoted'!HF86</f>
        <v>0</v>
      </c>
      <c r="V23" s="350">
        <f>'Haver Pivoted'!HG86</f>
        <v>0</v>
      </c>
      <c r="W23" s="550">
        <f>'Haver Pivoted'!HH86</f>
        <v>0</v>
      </c>
      <c r="X23" s="550">
        <f>'Haver Pivoted'!HI86</f>
        <v>0</v>
      </c>
      <c r="Y23" s="550">
        <f>'Haver Pivoted'!HJ86</f>
        <v>0</v>
      </c>
      <c r="Z23" s="550">
        <f>'Haver Pivoted'!HK86</f>
        <v>0</v>
      </c>
      <c r="AA23" s="550">
        <f>'Haver Pivoted'!HL86</f>
        <v>0</v>
      </c>
      <c r="AB23" s="550">
        <f>'Haver Pivoted'!HM86</f>
        <v>0</v>
      </c>
      <c r="AC23" s="550">
        <f>'Haver Pivoted'!HN86</f>
        <v>0</v>
      </c>
      <c r="AD23" s="354">
        <f t="shared" ref="AD23" si="48">AC23</f>
        <v>0</v>
      </c>
      <c r="AE23" s="354">
        <f t="shared" ref="AE23" si="49">AD23</f>
        <v>0</v>
      </c>
      <c r="AF23" s="354">
        <f t="shared" ref="AF23" si="50">AE23</f>
        <v>0</v>
      </c>
      <c r="AG23" s="354">
        <f t="shared" ref="AG23:AH23" si="51">AF23</f>
        <v>0</v>
      </c>
      <c r="AH23" s="354">
        <f t="shared" si="51"/>
        <v>0</v>
      </c>
      <c r="AI23" s="354">
        <f t="shared" ref="AI23" si="52">AH23</f>
        <v>0</v>
      </c>
      <c r="AJ23" s="354">
        <f t="shared" ref="AJ23" si="53">AI23</f>
        <v>0</v>
      </c>
      <c r="AK23" s="354">
        <f t="shared" ref="AK23" si="54">AJ23</f>
        <v>0</v>
      </c>
      <c r="AL23" s="354">
        <f t="shared" ref="AL23" si="55">AK23</f>
        <v>0</v>
      </c>
      <c r="AM23" s="354">
        <f t="shared" ref="AM23" si="56">AL23</f>
        <v>0</v>
      </c>
      <c r="AN23" s="354">
        <f t="shared" ref="AN23" si="57">AM23</f>
        <v>0</v>
      </c>
    </row>
    <row r="24" spans="2:40" x14ac:dyDescent="0.35">
      <c r="B24" s="529" t="s">
        <v>414</v>
      </c>
      <c r="C24" s="36"/>
      <c r="D24" s="368"/>
      <c r="E24" s="36"/>
      <c r="F24" s="54"/>
      <c r="G24" s="54"/>
      <c r="H24" s="54"/>
      <c r="I24" s="54"/>
      <c r="J24" s="54"/>
      <c r="K24" s="54"/>
      <c r="L24" s="54"/>
      <c r="M24" s="54"/>
      <c r="N24" s="54"/>
      <c r="O24" s="37">
        <f>O41+O42</f>
        <v>12.51648</v>
      </c>
      <c r="P24" s="37">
        <f>P41+P42</f>
        <v>11.3</v>
      </c>
      <c r="Q24" s="37">
        <f t="shared" ref="Q24:AC24" si="58">Q41+Q42</f>
        <v>11.3</v>
      </c>
      <c r="R24" s="37">
        <f t="shared" si="58"/>
        <v>11.3</v>
      </c>
      <c r="S24" s="37">
        <f t="shared" si="58"/>
        <v>11.3</v>
      </c>
      <c r="T24" s="37">
        <f t="shared" si="58"/>
        <v>8.4</v>
      </c>
      <c r="U24" s="37">
        <f t="shared" si="58"/>
        <v>8.4</v>
      </c>
      <c r="V24" s="37">
        <f t="shared" si="58"/>
        <v>8.4</v>
      </c>
      <c r="W24" s="408">
        <f t="shared" si="58"/>
        <v>8.4</v>
      </c>
      <c r="X24" s="37">
        <f t="shared" si="58"/>
        <v>0.2</v>
      </c>
      <c r="Y24" s="354">
        <f t="shared" si="58"/>
        <v>0.2</v>
      </c>
      <c r="Z24" s="354">
        <f t="shared" si="58"/>
        <v>0.2</v>
      </c>
      <c r="AA24" s="354">
        <f t="shared" si="58"/>
        <v>0.2</v>
      </c>
      <c r="AB24" s="354">
        <f t="shared" si="58"/>
        <v>0</v>
      </c>
      <c r="AC24" s="354">
        <f t="shared" si="58"/>
        <v>0</v>
      </c>
      <c r="AD24" s="354">
        <f t="shared" ref="AD24:AE24" si="59">AD41+AD42</f>
        <v>0</v>
      </c>
      <c r="AE24" s="354">
        <f t="shared" si="59"/>
        <v>0</v>
      </c>
      <c r="AF24" s="354">
        <f t="shared" ref="AF24:AG24" si="60">AF41+AF42</f>
        <v>0</v>
      </c>
      <c r="AG24" s="354">
        <f t="shared" si="60"/>
        <v>0</v>
      </c>
      <c r="AH24" s="354">
        <f t="shared" ref="AH24:AJ24" si="61">AH41+AH42</f>
        <v>0</v>
      </c>
      <c r="AI24" s="354">
        <f t="shared" si="61"/>
        <v>0</v>
      </c>
      <c r="AJ24" s="354">
        <f t="shared" si="61"/>
        <v>0</v>
      </c>
      <c r="AK24" s="354">
        <f t="shared" ref="AK24:AN24" si="62">AK41+AK42</f>
        <v>0</v>
      </c>
      <c r="AL24" s="354">
        <f t="shared" si="62"/>
        <v>0</v>
      </c>
      <c r="AM24" s="354">
        <f t="shared" si="62"/>
        <v>0</v>
      </c>
      <c r="AN24" s="354">
        <f t="shared" si="62"/>
        <v>0</v>
      </c>
    </row>
    <row r="25" spans="2:40" x14ac:dyDescent="0.35">
      <c r="B25" s="529" t="s">
        <v>415</v>
      </c>
      <c r="C25" s="36"/>
      <c r="D25" s="368"/>
      <c r="E25" s="36"/>
      <c r="F25" s="37"/>
      <c r="G25" s="37"/>
      <c r="H25" s="241"/>
      <c r="I25" s="241"/>
      <c r="J25" s="241"/>
      <c r="K25" s="241"/>
      <c r="L25" s="241"/>
      <c r="M25" s="241"/>
      <c r="N25" s="37"/>
      <c r="O25" s="37">
        <f>O34</f>
        <v>12</v>
      </c>
      <c r="P25" s="37">
        <v>25</v>
      </c>
      <c r="Q25" s="37">
        <v>5</v>
      </c>
      <c r="R25" s="37">
        <v>5</v>
      </c>
      <c r="S25" s="37">
        <v>5</v>
      </c>
      <c r="T25" s="37">
        <f t="shared" ref="T25:AC25" si="63">T34</f>
        <v>0</v>
      </c>
      <c r="U25" s="37">
        <f t="shared" si="63"/>
        <v>0</v>
      </c>
      <c r="V25" s="37">
        <f t="shared" si="63"/>
        <v>0</v>
      </c>
      <c r="W25" s="408">
        <f t="shared" si="63"/>
        <v>0</v>
      </c>
      <c r="X25" s="37">
        <f t="shared" si="63"/>
        <v>0</v>
      </c>
      <c r="Y25" s="354">
        <f t="shared" si="63"/>
        <v>0</v>
      </c>
      <c r="Z25" s="354">
        <f t="shared" si="63"/>
        <v>0</v>
      </c>
      <c r="AA25" s="354">
        <f t="shared" si="63"/>
        <v>0</v>
      </c>
      <c r="AB25" s="354">
        <f t="shared" si="63"/>
        <v>0</v>
      </c>
      <c r="AC25" s="354">
        <f t="shared" si="63"/>
        <v>0</v>
      </c>
      <c r="AD25" s="354">
        <f t="shared" ref="AD25:AE25" si="64">AD34</f>
        <v>0</v>
      </c>
      <c r="AE25" s="354">
        <f t="shared" si="64"/>
        <v>0</v>
      </c>
      <c r="AF25" s="354">
        <f t="shared" ref="AF25:AG25" si="65">AF34</f>
        <v>0</v>
      </c>
      <c r="AG25" s="354">
        <f t="shared" si="65"/>
        <v>0</v>
      </c>
      <c r="AH25" s="354">
        <f t="shared" ref="AH25:AJ25" si="66">AH34</f>
        <v>0</v>
      </c>
      <c r="AI25" s="354">
        <f t="shared" si="66"/>
        <v>0</v>
      </c>
      <c r="AJ25" s="354">
        <f t="shared" si="66"/>
        <v>0</v>
      </c>
      <c r="AK25" s="354">
        <f t="shared" ref="AK25:AN25" si="67">AK34</f>
        <v>0</v>
      </c>
      <c r="AL25" s="354">
        <f t="shared" si="67"/>
        <v>0</v>
      </c>
      <c r="AM25" s="354">
        <f t="shared" si="67"/>
        <v>0</v>
      </c>
      <c r="AN25" s="354">
        <f t="shared" si="67"/>
        <v>0</v>
      </c>
    </row>
    <row r="26" spans="2:40" x14ac:dyDescent="0.35">
      <c r="B26" s="529" t="s">
        <v>1371</v>
      </c>
      <c r="C26" s="36"/>
      <c r="D26" s="368"/>
      <c r="E26" s="36"/>
      <c r="F26" s="37"/>
      <c r="G26" s="37"/>
      <c r="H26" s="241"/>
      <c r="I26" s="241"/>
      <c r="J26" s="241"/>
      <c r="K26" s="241"/>
      <c r="L26" s="241"/>
      <c r="M26" s="241"/>
      <c r="N26" s="37"/>
      <c r="O26" s="37"/>
      <c r="P26" s="37"/>
      <c r="Q26" s="37"/>
      <c r="R26" s="37"/>
      <c r="S26" s="511">
        <f>'IRA and CHIPS'!E198</f>
        <v>0</v>
      </c>
      <c r="T26" s="511">
        <f>'IRA and CHIPS'!F198</f>
        <v>2.3250000000000002</v>
      </c>
      <c r="U26" s="511">
        <f>'IRA and CHIPS'!G198</f>
        <v>2.3250000000000002</v>
      </c>
      <c r="V26" s="511">
        <f>'IRA and CHIPS'!H198</f>
        <v>2.3250000000000002</v>
      </c>
      <c r="W26" s="507">
        <f>'IRA and CHIPS'!I198</f>
        <v>2.3250000000000002</v>
      </c>
      <c r="X26" s="511">
        <f>'IRA and CHIPS'!J198</f>
        <v>5.5830000000000002</v>
      </c>
      <c r="Y26" s="521">
        <f>'IRA and CHIPS'!K198</f>
        <v>5.5830000000000002</v>
      </c>
      <c r="Z26" s="521">
        <f>'IRA and CHIPS'!L198</f>
        <v>5.5830000000000002</v>
      </c>
      <c r="AA26" s="521">
        <f>'IRA and CHIPS'!M198</f>
        <v>5.5830000000000002</v>
      </c>
      <c r="AB26" s="521">
        <f>'IRA and CHIPS'!N198</f>
        <v>8.0220000000000002</v>
      </c>
      <c r="AC26" s="521">
        <f>'IRA and CHIPS'!O198</f>
        <v>8.0220000000000002</v>
      </c>
      <c r="AD26" s="521">
        <f>'IRA and CHIPS'!P198</f>
        <v>0</v>
      </c>
      <c r="AE26" s="521">
        <f>'IRA and CHIPS'!Q198</f>
        <v>0</v>
      </c>
      <c r="AF26" s="521">
        <f>'IRA and CHIPS'!R198</f>
        <v>0</v>
      </c>
      <c r="AG26" s="521">
        <f>'IRA and CHIPS'!S198</f>
        <v>0</v>
      </c>
      <c r="AH26" s="521">
        <f>'IRA and CHIPS'!T198</f>
        <v>0</v>
      </c>
      <c r="AI26" s="521">
        <f>'IRA and CHIPS'!U198</f>
        <v>0</v>
      </c>
      <c r="AJ26" s="521">
        <f>'IRA and CHIPS'!V198</f>
        <v>0</v>
      </c>
      <c r="AK26" s="521">
        <f>'IRA and CHIPS'!W198</f>
        <v>0</v>
      </c>
      <c r="AL26" s="521">
        <f>'IRA and CHIPS'!X198</f>
        <v>0</v>
      </c>
      <c r="AM26" s="521">
        <f>'IRA and CHIPS'!Y198</f>
        <v>0</v>
      </c>
      <c r="AN26" s="521">
        <f>'IRA and CHIPS'!Z198</f>
        <v>0</v>
      </c>
    </row>
    <row r="27" spans="2:40" x14ac:dyDescent="0.35">
      <c r="B27" s="529" t="s">
        <v>1179</v>
      </c>
      <c r="C27" s="396"/>
      <c r="D27" s="394"/>
      <c r="E27" s="396"/>
      <c r="F27" s="401"/>
      <c r="G27" s="401"/>
      <c r="H27" s="502"/>
      <c r="I27" s="502"/>
      <c r="J27" s="502"/>
      <c r="K27" s="502"/>
      <c r="L27" s="502"/>
      <c r="M27" s="502"/>
      <c r="N27" s="401"/>
      <c r="O27" s="401"/>
      <c r="P27" s="401"/>
      <c r="Q27" s="401"/>
      <c r="R27" s="401"/>
      <c r="S27" s="512">
        <f>'IRA and CHIPS'!E187</f>
        <v>0</v>
      </c>
      <c r="T27" s="512">
        <f>'IRA and CHIPS'!F187</f>
        <v>1.2969999999999999</v>
      </c>
      <c r="U27" s="512">
        <f>'IRA and CHIPS'!G187</f>
        <v>1.2969999999999999</v>
      </c>
      <c r="V27" s="512">
        <f>'IRA and CHIPS'!H187</f>
        <v>1.2969999999999999</v>
      </c>
      <c r="W27" s="508">
        <f>'IRA and CHIPS'!I187</f>
        <v>1.2969999999999999</v>
      </c>
      <c r="X27" s="512">
        <f>'IRA and CHIPS'!J187</f>
        <v>3.8479999999999999</v>
      </c>
      <c r="Y27" s="530">
        <f>'IRA and CHIPS'!K187</f>
        <v>3.8479999999999999</v>
      </c>
      <c r="Z27" s="530">
        <f>'IRA and CHIPS'!L187</f>
        <v>3.8479999999999999</v>
      </c>
      <c r="AA27" s="530">
        <f>'IRA and CHIPS'!M187</f>
        <v>3.8479999999999999</v>
      </c>
      <c r="AB27" s="530">
        <f>'IRA and CHIPS'!N187</f>
        <v>6.4420000000000002</v>
      </c>
      <c r="AC27" s="530">
        <f>'IRA and CHIPS'!O187</f>
        <v>6.4420000000000002</v>
      </c>
      <c r="AD27" s="530">
        <f>'IRA and CHIPS'!P187</f>
        <v>6.4420000000000002</v>
      </c>
      <c r="AE27" s="530">
        <f>'IRA and CHIPS'!Q187</f>
        <v>6.4420000000000002</v>
      </c>
      <c r="AF27" s="530">
        <f>'IRA and CHIPS'!R187</f>
        <v>9.532</v>
      </c>
      <c r="AG27" s="530">
        <f>'IRA and CHIPS'!S187</f>
        <v>9.532</v>
      </c>
      <c r="AH27" s="530">
        <f>AG27</f>
        <v>9.532</v>
      </c>
      <c r="AI27" s="530">
        <f t="shared" ref="AI27:AJ27" si="68">AH27</f>
        <v>9.532</v>
      </c>
      <c r="AJ27" s="530">
        <f t="shared" si="68"/>
        <v>9.532</v>
      </c>
      <c r="AK27" s="530">
        <f t="shared" ref="AK27" si="69">AJ27</f>
        <v>9.532</v>
      </c>
      <c r="AL27" s="530">
        <f t="shared" ref="AL27" si="70">AK27</f>
        <v>9.532</v>
      </c>
      <c r="AM27" s="530">
        <f t="shared" ref="AM27" si="71">AL27</f>
        <v>9.532</v>
      </c>
      <c r="AN27" s="530">
        <f t="shared" ref="AN27" si="72">AM27</f>
        <v>9.532</v>
      </c>
    </row>
    <row r="28" spans="2:40" ht="15" customHeight="1" x14ac:dyDescent="0.35">
      <c r="B28" s="1387" t="s">
        <v>416</v>
      </c>
      <c r="C28" s="1388"/>
      <c r="D28" s="531"/>
      <c r="E28" s="505"/>
      <c r="F28" s="505"/>
      <c r="G28" s="505"/>
      <c r="H28" s="37"/>
      <c r="I28" s="37"/>
      <c r="J28" s="37"/>
      <c r="K28" s="37"/>
      <c r="L28" s="37"/>
      <c r="M28" s="37"/>
      <c r="N28" s="37"/>
      <c r="O28" s="37"/>
      <c r="P28" s="437"/>
      <c r="Q28" s="37"/>
      <c r="R28" s="37"/>
      <c r="S28" s="37"/>
      <c r="T28" s="37"/>
      <c r="U28" s="37"/>
      <c r="V28" s="510"/>
      <c r="W28" s="510"/>
      <c r="X28" s="510"/>
      <c r="Y28" s="514"/>
      <c r="Z28" s="514"/>
      <c r="AA28" s="514"/>
      <c r="AB28" s="514"/>
      <c r="AC28" s="514"/>
      <c r="AD28" s="225"/>
      <c r="AE28" s="522"/>
      <c r="AF28" s="522"/>
      <c r="AG28" s="225"/>
      <c r="AH28" s="225"/>
      <c r="AI28" s="225"/>
      <c r="AJ28" s="225"/>
      <c r="AK28" s="225"/>
      <c r="AL28" s="225"/>
      <c r="AM28" s="225"/>
      <c r="AN28" s="225"/>
    </row>
    <row r="29" spans="2:40" x14ac:dyDescent="0.35">
      <c r="B29" s="428" t="s">
        <v>417</v>
      </c>
      <c r="C29" s="280"/>
      <c r="D29" s="488"/>
      <c r="E29" s="280"/>
      <c r="F29" s="241"/>
      <c r="G29" s="241"/>
      <c r="H29" s="37"/>
      <c r="I29" s="37"/>
      <c r="J29" s="37"/>
      <c r="K29" s="37"/>
      <c r="L29" s="37"/>
      <c r="M29" s="37"/>
      <c r="N29" s="37">
        <f>SUM(N30:N34)</f>
        <v>23</v>
      </c>
      <c r="O29" s="37">
        <f>SUM(O30:O34)</f>
        <v>162</v>
      </c>
      <c r="P29" s="37"/>
      <c r="Q29" s="37"/>
      <c r="R29" s="37"/>
      <c r="S29" s="37"/>
      <c r="T29" s="37"/>
      <c r="U29" s="37"/>
      <c r="V29" s="56"/>
      <c r="W29" s="56"/>
      <c r="X29" s="56"/>
      <c r="Y29" s="225"/>
      <c r="Z29" s="225"/>
      <c r="AA29" s="225"/>
      <c r="AB29" s="225"/>
      <c r="AC29" s="225"/>
      <c r="AD29" s="225"/>
      <c r="AE29" s="522"/>
      <c r="AF29" s="522"/>
      <c r="AG29" s="225"/>
      <c r="AH29" s="225"/>
      <c r="AI29" s="225"/>
      <c r="AJ29" s="225"/>
      <c r="AK29" s="225"/>
      <c r="AL29" s="225"/>
      <c r="AM29" s="225"/>
      <c r="AN29" s="225"/>
    </row>
    <row r="30" spans="2:40" x14ac:dyDescent="0.35">
      <c r="B30" s="371" t="s">
        <v>418</v>
      </c>
      <c r="C30" s="280"/>
      <c r="D30" s="488"/>
      <c r="E30" s="280"/>
      <c r="F30" s="241"/>
      <c r="G30" s="241"/>
      <c r="H30" s="37"/>
      <c r="I30" s="37"/>
      <c r="J30" s="37"/>
      <c r="K30" s="37"/>
      <c r="L30" s="535"/>
      <c r="M30" s="37"/>
      <c r="N30" s="37">
        <f>(4*'Response and Relief Act Score'!$F$15-$M$18)/2</f>
        <v>11</v>
      </c>
      <c r="O30" s="37">
        <f>(4*'Response and Relief Act Score'!$F$15-$M$18)/2</f>
        <v>11</v>
      </c>
      <c r="P30" s="37"/>
      <c r="Q30" s="37"/>
      <c r="R30" s="37"/>
      <c r="S30" s="37"/>
      <c r="T30" s="37"/>
      <c r="U30" s="37"/>
      <c r="V30" s="56"/>
      <c r="W30" s="56"/>
      <c r="X30" s="56"/>
      <c r="Y30" s="225"/>
      <c r="Z30" s="225"/>
      <c r="AA30" s="225"/>
      <c r="AB30" s="225"/>
      <c r="AC30" s="225"/>
      <c r="AD30" s="225"/>
      <c r="AE30" s="522"/>
      <c r="AF30" s="522"/>
      <c r="AG30" s="225"/>
      <c r="AH30" s="225"/>
      <c r="AI30" s="225"/>
      <c r="AJ30" s="225"/>
      <c r="AK30" s="225"/>
      <c r="AL30" s="225"/>
      <c r="AM30" s="225"/>
      <c r="AN30" s="225"/>
    </row>
    <row r="31" spans="2:40" x14ac:dyDescent="0.35">
      <c r="B31" s="371" t="s">
        <v>415</v>
      </c>
      <c r="C31" s="280"/>
      <c r="D31" s="488"/>
      <c r="E31" s="280"/>
      <c r="F31" s="241"/>
      <c r="G31" s="241"/>
      <c r="H31" s="37"/>
      <c r="I31" s="37"/>
      <c r="J31" s="37"/>
      <c r="K31" s="37"/>
      <c r="L31" s="535"/>
      <c r="M31" s="37"/>
      <c r="N31" s="37"/>
      <c r="O31" s="37"/>
      <c r="P31" s="37"/>
      <c r="Q31" s="37"/>
      <c r="R31" s="37"/>
      <c r="S31" s="37"/>
      <c r="T31" s="37"/>
      <c r="U31" s="37"/>
      <c r="V31" s="56"/>
      <c r="W31" s="56"/>
      <c r="X31" s="56"/>
      <c r="Y31" s="225"/>
      <c r="Z31" s="225"/>
      <c r="AA31" s="225"/>
      <c r="AB31" s="225"/>
      <c r="AC31" s="225"/>
      <c r="AD31" s="225"/>
      <c r="AE31" s="522"/>
      <c r="AF31" s="522"/>
      <c r="AG31" s="225"/>
      <c r="AH31" s="225"/>
      <c r="AI31" s="225"/>
      <c r="AJ31" s="225"/>
      <c r="AK31" s="225"/>
      <c r="AL31" s="225"/>
      <c r="AM31" s="225"/>
      <c r="AN31" s="225"/>
    </row>
    <row r="32" spans="2:40" x14ac:dyDescent="0.35">
      <c r="B32" s="548" t="s">
        <v>412</v>
      </c>
      <c r="C32" s="280"/>
      <c r="D32" s="488"/>
      <c r="E32" s="280"/>
      <c r="F32" s="241"/>
      <c r="G32" s="241"/>
      <c r="H32" s="37"/>
      <c r="I32" s="37"/>
      <c r="J32" s="37"/>
      <c r="K32" s="37"/>
      <c r="L32" s="37"/>
      <c r="M32" s="37"/>
      <c r="N32" s="37"/>
      <c r="O32" s="37">
        <v>79</v>
      </c>
      <c r="P32" s="37"/>
      <c r="Q32" s="408"/>
      <c r="R32" s="408"/>
      <c r="S32" s="408"/>
      <c r="T32" s="408"/>
      <c r="U32" s="408"/>
      <c r="V32" s="56"/>
      <c r="W32" s="56"/>
      <c r="X32" s="56"/>
      <c r="Y32" s="225"/>
      <c r="Z32" s="225"/>
      <c r="AA32" s="225"/>
      <c r="AB32" s="225"/>
      <c r="AC32" s="225"/>
      <c r="AD32" s="225"/>
      <c r="AE32" s="522"/>
      <c r="AF32" s="522"/>
      <c r="AG32" s="225"/>
      <c r="AH32" s="225"/>
      <c r="AI32" s="225"/>
      <c r="AJ32" s="225"/>
      <c r="AK32" s="225"/>
      <c r="AL32" s="225"/>
      <c r="AM32" s="225"/>
      <c r="AN32" s="225"/>
    </row>
    <row r="33" spans="1:79" x14ac:dyDescent="0.35">
      <c r="B33" s="549" t="s">
        <v>419</v>
      </c>
      <c r="C33" s="280"/>
      <c r="D33" s="488"/>
      <c r="E33" s="280"/>
      <c r="F33" s="241"/>
      <c r="G33" s="241"/>
      <c r="H33" s="37"/>
      <c r="I33" s="37"/>
      <c r="J33" s="37"/>
      <c r="K33" s="37"/>
      <c r="L33" s="37"/>
      <c r="M33" s="37"/>
      <c r="N33" s="37"/>
      <c r="O33" s="37">
        <f>'Response and Relief Act Score'!F13*4</f>
        <v>60</v>
      </c>
      <c r="P33" s="37"/>
      <c r="Q33" s="408"/>
      <c r="R33" s="408"/>
      <c r="S33" s="408"/>
      <c r="T33" s="408"/>
      <c r="U33" s="408"/>
      <c r="V33" s="56"/>
      <c r="W33" s="56"/>
      <c r="X33" s="56"/>
      <c r="Y33" s="225"/>
      <c r="Z33" s="225"/>
      <c r="AA33" s="225"/>
      <c r="AB33" s="225"/>
      <c r="AC33" s="225"/>
      <c r="AD33" s="225"/>
      <c r="AE33" s="522"/>
      <c r="AF33" s="522"/>
      <c r="AG33" s="225"/>
      <c r="AH33" s="225"/>
      <c r="AI33" s="225"/>
      <c r="AJ33" s="225"/>
      <c r="AK33" s="225"/>
      <c r="AL33" s="225"/>
      <c r="AM33" s="225"/>
      <c r="AN33" s="225"/>
    </row>
    <row r="34" spans="1:79" ht="27.65" customHeight="1" x14ac:dyDescent="0.35">
      <c r="B34" s="549" t="s">
        <v>420</v>
      </c>
      <c r="C34" s="280"/>
      <c r="D34" s="533"/>
      <c r="E34" s="534"/>
      <c r="F34" s="502"/>
      <c r="G34" s="502"/>
      <c r="H34" s="401"/>
      <c r="I34" s="401"/>
      <c r="J34" s="401"/>
      <c r="K34" s="401"/>
      <c r="L34" s="539"/>
      <c r="M34" s="401"/>
      <c r="N34" s="401">
        <f>'Response and Relief Act Score'!F14*4/2</f>
        <v>12</v>
      </c>
      <c r="O34" s="401">
        <f>'Response and Relief Act Score'!F14*4/2</f>
        <v>12</v>
      </c>
      <c r="P34" s="401"/>
      <c r="Q34" s="401"/>
      <c r="R34" s="401"/>
      <c r="S34" s="401"/>
      <c r="T34" s="401"/>
      <c r="U34" s="37"/>
      <c r="V34" s="56"/>
      <c r="W34" s="56"/>
      <c r="X34" s="56"/>
      <c r="Y34" s="225"/>
      <c r="Z34" s="225"/>
      <c r="AA34" s="225"/>
      <c r="AB34" s="225"/>
      <c r="AC34" s="225"/>
      <c r="AD34" s="225"/>
      <c r="AE34" s="522"/>
      <c r="AF34" s="522"/>
      <c r="AG34" s="225"/>
      <c r="AH34" s="225"/>
      <c r="AI34" s="225"/>
      <c r="AJ34" s="225"/>
      <c r="AK34" s="225"/>
      <c r="AL34" s="225"/>
      <c r="AM34" s="225"/>
      <c r="AN34" s="225"/>
    </row>
    <row r="35" spans="1:79" ht="15" customHeight="1" x14ac:dyDescent="0.35">
      <c r="B35" s="1385" t="s">
        <v>421</v>
      </c>
      <c r="C35" s="1386"/>
      <c r="D35" s="488"/>
      <c r="E35" s="280"/>
      <c r="F35" s="241"/>
      <c r="G35" s="241"/>
      <c r="H35" s="37"/>
      <c r="I35" s="37"/>
      <c r="J35" s="37"/>
      <c r="K35" s="37"/>
      <c r="L35" s="535"/>
      <c r="M35" s="37"/>
      <c r="N35" s="37"/>
      <c r="O35" s="37"/>
      <c r="P35" s="37"/>
      <c r="Q35" s="37"/>
      <c r="R35" s="37"/>
      <c r="S35" s="37"/>
      <c r="T35" s="506"/>
      <c r="U35" s="516"/>
      <c r="V35" s="510"/>
      <c r="W35" s="510"/>
      <c r="X35" s="510"/>
      <c r="Y35" s="514"/>
      <c r="Z35" s="514"/>
      <c r="AA35" s="514"/>
      <c r="AB35" s="514"/>
      <c r="AC35" s="514"/>
      <c r="AD35" s="225"/>
      <c r="AE35" s="522"/>
      <c r="AF35" s="522"/>
      <c r="AG35" s="225"/>
      <c r="AH35" s="225"/>
      <c r="AI35" s="225"/>
      <c r="AJ35" s="225"/>
      <c r="AK35" s="225"/>
      <c r="AL35" s="225"/>
      <c r="AM35" s="225"/>
      <c r="AN35" s="225"/>
    </row>
    <row r="36" spans="1:79" ht="13.5" customHeight="1" x14ac:dyDescent="0.35">
      <c r="B36" s="549" t="s">
        <v>143</v>
      </c>
      <c r="C36" s="280"/>
      <c r="D36" s="488"/>
      <c r="E36" s="280"/>
      <c r="F36" s="241"/>
      <c r="G36" s="241"/>
      <c r="H36" s="37"/>
      <c r="I36" s="37"/>
      <c r="J36" s="37"/>
      <c r="K36" s="37"/>
      <c r="L36" s="535"/>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4">
        <f>'ARP Quarterly'!O18</f>
        <v>0</v>
      </c>
      <c r="Z36" s="354">
        <f>'ARP Quarterly'!P18</f>
        <v>0</v>
      </c>
      <c r="AA36" s="354">
        <f>'ARP Quarterly'!Q18</f>
        <v>0</v>
      </c>
      <c r="AB36" s="354">
        <f>'ARP Quarterly'!R18</f>
        <v>0</v>
      </c>
      <c r="AC36" s="354">
        <f>'ARP Quarterly'!S18</f>
        <v>0</v>
      </c>
      <c r="AD36" s="225"/>
      <c r="AE36" s="522"/>
      <c r="AF36" s="522"/>
      <c r="AG36" s="225"/>
      <c r="AH36" s="225"/>
      <c r="AI36" s="225"/>
      <c r="AJ36" s="225"/>
      <c r="AK36" s="225"/>
      <c r="AL36" s="225"/>
      <c r="AM36" s="225"/>
      <c r="AN36" s="225"/>
    </row>
    <row r="37" spans="1:79" x14ac:dyDescent="0.35">
      <c r="B37" s="549" t="s">
        <v>422</v>
      </c>
      <c r="C37" s="280"/>
      <c r="D37" s="488"/>
      <c r="E37" s="280"/>
      <c r="F37" s="241"/>
      <c r="G37" s="241"/>
      <c r="H37" s="37"/>
      <c r="I37" s="37"/>
      <c r="J37" s="37"/>
      <c r="K37" s="37"/>
      <c r="L37" s="535"/>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4">
        <f>'ARP Quarterly'!O19</f>
        <v>0</v>
      </c>
      <c r="Z37" s="354">
        <f>'ARP Quarterly'!P19</f>
        <v>0</v>
      </c>
      <c r="AA37" s="354">
        <f>'ARP Quarterly'!Q19</f>
        <v>0</v>
      </c>
      <c r="AB37" s="354">
        <f>'ARP Quarterly'!R19</f>
        <v>0</v>
      </c>
      <c r="AC37" s="354">
        <f>'ARP Quarterly'!S19</f>
        <v>0</v>
      </c>
      <c r="AD37" s="225"/>
      <c r="AE37" s="522"/>
      <c r="AF37" s="522"/>
      <c r="AG37" s="225"/>
      <c r="AH37" s="225"/>
      <c r="AI37" s="225"/>
      <c r="AJ37" s="225"/>
      <c r="AK37" s="225"/>
      <c r="AL37" s="225"/>
      <c r="AM37" s="225"/>
      <c r="AN37" s="225"/>
    </row>
    <row r="38" spans="1:79" x14ac:dyDescent="0.35">
      <c r="B38" s="549" t="s">
        <v>148</v>
      </c>
      <c r="C38" s="280"/>
      <c r="D38" s="488"/>
      <c r="E38" s="280"/>
      <c r="F38" s="241"/>
      <c r="G38" s="241"/>
      <c r="H38" s="37"/>
      <c r="I38" s="37"/>
      <c r="J38" s="37"/>
      <c r="K38" s="37"/>
      <c r="L38" s="535"/>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4">
        <f>'ARP Quarterly'!O20</f>
        <v>0</v>
      </c>
      <c r="Z38" s="354">
        <f>'ARP Quarterly'!P20</f>
        <v>0</v>
      </c>
      <c r="AA38" s="354">
        <f>'ARP Quarterly'!Q20</f>
        <v>0</v>
      </c>
      <c r="AB38" s="354">
        <f>'ARP Quarterly'!R20</f>
        <v>0</v>
      </c>
      <c r="AC38" s="354">
        <f>'ARP Quarterly'!S20</f>
        <v>0</v>
      </c>
      <c r="AD38" s="225"/>
      <c r="AE38" s="522"/>
      <c r="AF38" s="522"/>
      <c r="AG38" s="225"/>
      <c r="AH38" s="225"/>
      <c r="AI38" s="225"/>
      <c r="AJ38" s="225"/>
      <c r="AK38" s="225"/>
      <c r="AL38" s="225"/>
      <c r="AM38" s="225"/>
      <c r="AN38" s="225"/>
    </row>
    <row r="39" spans="1:79" x14ac:dyDescent="0.35">
      <c r="B39" s="549" t="s">
        <v>412</v>
      </c>
      <c r="C39" s="280"/>
      <c r="D39" s="488"/>
      <c r="E39" s="280"/>
      <c r="F39" s="241"/>
      <c r="G39" s="241"/>
      <c r="H39" s="37"/>
      <c r="I39" s="37"/>
      <c r="J39" s="37"/>
      <c r="K39" s="37"/>
      <c r="L39" s="535"/>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4">
        <f>'ARP Quarterly'!O21</f>
        <v>0</v>
      </c>
      <c r="Z39" s="354">
        <f>'ARP Quarterly'!P21</f>
        <v>0</v>
      </c>
      <c r="AA39" s="354">
        <f>'ARP Quarterly'!Q21</f>
        <v>0</v>
      </c>
      <c r="AB39" s="354">
        <f>'ARP Quarterly'!R21</f>
        <v>0</v>
      </c>
      <c r="AC39" s="354">
        <f>'ARP Quarterly'!S21</f>
        <v>0</v>
      </c>
      <c r="AD39" s="225"/>
      <c r="AE39" s="522"/>
      <c r="AF39" s="522"/>
      <c r="AG39" s="225"/>
      <c r="AH39" s="225"/>
      <c r="AI39" s="225"/>
      <c r="AJ39" s="225"/>
      <c r="AK39" s="225"/>
      <c r="AL39" s="225"/>
      <c r="AM39" s="225"/>
      <c r="AN39" s="225"/>
    </row>
    <row r="40" spans="1:79" ht="30" customHeight="1" x14ac:dyDescent="0.35">
      <c r="B40" s="549" t="s">
        <v>423</v>
      </c>
      <c r="C40" s="280"/>
      <c r="D40" s="488"/>
      <c r="E40" s="280"/>
      <c r="F40" s="241"/>
      <c r="G40" s="241"/>
      <c r="H40" s="37"/>
      <c r="I40" s="37"/>
      <c r="J40" s="37"/>
      <c r="K40" s="37"/>
      <c r="L40" s="535"/>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4">
        <f>'ARP Quarterly'!O22</f>
        <v>0</v>
      </c>
      <c r="Z40" s="354">
        <f>'ARP Quarterly'!P22</f>
        <v>0</v>
      </c>
      <c r="AA40" s="354">
        <f>'ARP Quarterly'!Q22</f>
        <v>0</v>
      </c>
      <c r="AB40" s="354">
        <f>'ARP Quarterly'!R22</f>
        <v>0</v>
      </c>
      <c r="AC40" s="354">
        <f>'ARP Quarterly'!S22</f>
        <v>0</v>
      </c>
      <c r="AD40" s="225"/>
      <c r="AE40" s="522"/>
      <c r="AF40" s="522"/>
      <c r="AG40" s="225"/>
      <c r="AH40" s="225"/>
      <c r="AI40" s="225"/>
      <c r="AJ40" s="225"/>
      <c r="AK40" s="225"/>
      <c r="AL40" s="225"/>
      <c r="AM40" s="225"/>
      <c r="AN40" s="225"/>
    </row>
    <row r="41" spans="1:79" x14ac:dyDescent="0.35">
      <c r="B41" s="549" t="s">
        <v>424</v>
      </c>
      <c r="C41" s="280"/>
      <c r="D41" s="488"/>
      <c r="E41" s="280"/>
      <c r="F41" s="241"/>
      <c r="G41" s="241"/>
      <c r="H41" s="37"/>
      <c r="I41" s="37"/>
      <c r="J41" s="37"/>
      <c r="K41" s="37"/>
      <c r="L41" s="535"/>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4">
        <f>'ARP Quarterly'!O23</f>
        <v>0.2</v>
      </c>
      <c r="Z41" s="354">
        <f>'ARP Quarterly'!P23</f>
        <v>0.2</v>
      </c>
      <c r="AA41" s="354">
        <f>'ARP Quarterly'!Q23</f>
        <v>0.2</v>
      </c>
      <c r="AB41" s="354">
        <f>'ARP Quarterly'!R23</f>
        <v>0</v>
      </c>
      <c r="AC41" s="354">
        <f>'ARP Quarterly'!S23</f>
        <v>0</v>
      </c>
      <c r="AD41" s="225"/>
      <c r="AE41" s="522"/>
      <c r="AF41" s="522"/>
      <c r="AG41" s="225"/>
      <c r="AH41" s="225"/>
      <c r="AI41" s="225"/>
      <c r="AJ41" s="225"/>
      <c r="AK41" s="225"/>
      <c r="AL41" s="225"/>
      <c r="AM41" s="225"/>
      <c r="AN41" s="225"/>
    </row>
    <row r="42" spans="1:79" x14ac:dyDescent="0.35">
      <c r="B42" s="549" t="s">
        <v>425</v>
      </c>
      <c r="C42" s="280"/>
      <c r="D42" s="488"/>
      <c r="E42" s="280"/>
      <c r="F42" s="241"/>
      <c r="G42" s="241"/>
      <c r="H42" s="37"/>
      <c r="I42" s="37"/>
      <c r="J42" s="37"/>
      <c r="K42" s="37"/>
      <c r="L42" s="535"/>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4">
        <v>0</v>
      </c>
      <c r="Z42" s="354">
        <v>0</v>
      </c>
      <c r="AA42" s="354">
        <v>0</v>
      </c>
      <c r="AB42" s="354">
        <v>0</v>
      </c>
      <c r="AC42" s="354">
        <v>0</v>
      </c>
      <c r="AD42" s="225"/>
      <c r="AE42" s="522"/>
      <c r="AF42" s="522"/>
      <c r="AG42" s="225"/>
      <c r="AH42" s="225"/>
      <c r="AI42" s="225"/>
      <c r="AJ42" s="225"/>
      <c r="AK42" s="225"/>
      <c r="AL42" s="225"/>
      <c r="AM42" s="225"/>
      <c r="AN42" s="225"/>
    </row>
    <row r="43" spans="1:79" x14ac:dyDescent="0.35">
      <c r="B43" s="549" t="s">
        <v>311</v>
      </c>
      <c r="C43" s="280"/>
      <c r="D43" s="533"/>
      <c r="E43" s="534"/>
      <c r="F43" s="502"/>
      <c r="G43" s="502"/>
      <c r="H43" s="401"/>
      <c r="I43" s="401"/>
      <c r="J43" s="401"/>
      <c r="K43" s="401"/>
      <c r="L43" s="539"/>
      <c r="M43" s="401">
        <f>'ARP Quarterly'!C25</f>
        <v>0</v>
      </c>
      <c r="N43" s="401">
        <f>'ARP Quarterly'!D25</f>
        <v>58.782959999999996</v>
      </c>
      <c r="O43" s="401">
        <f>'ARP Quarterly'!E25</f>
        <v>267.78904000000006</v>
      </c>
      <c r="P43" s="401">
        <f>'ARP Quarterly'!F25</f>
        <v>110.24799999999999</v>
      </c>
      <c r="Q43" s="401">
        <f>'ARP Quarterly'!G25</f>
        <v>110.24799999999999</v>
      </c>
      <c r="R43" s="401">
        <f>'ARP Quarterly'!H25</f>
        <v>110.24799999999999</v>
      </c>
      <c r="S43" s="401">
        <f>'ARP Quarterly'!I25</f>
        <v>110.24799999999999</v>
      </c>
      <c r="T43" s="401">
        <f>'ARP Quarterly'!J25</f>
        <v>12.362</v>
      </c>
      <c r="U43" s="37">
        <f>'ARP Quarterly'!K25</f>
        <v>12.362</v>
      </c>
      <c r="V43" s="37">
        <f>'ARP Quarterly'!L25</f>
        <v>12.362</v>
      </c>
      <c r="W43" s="37">
        <f>'ARP Quarterly'!M25</f>
        <v>12.362</v>
      </c>
      <c r="X43" s="37">
        <f>'ARP Quarterly'!N25</f>
        <v>-0.67500000000000004</v>
      </c>
      <c r="Y43" s="354">
        <f>'ARP Quarterly'!O25</f>
        <v>-0.67500000000000004</v>
      </c>
      <c r="Z43" s="354">
        <f>'ARP Quarterly'!P25</f>
        <v>-0.67500000000000004</v>
      </c>
      <c r="AA43" s="354">
        <f>'ARP Quarterly'!Q25</f>
        <v>-0.67500000000000004</v>
      </c>
      <c r="AB43" s="354">
        <f>'ARP Quarterly'!R25</f>
        <v>0</v>
      </c>
      <c r="AC43" s="354">
        <f>'ARP Quarterly'!S25</f>
        <v>0</v>
      </c>
      <c r="AD43" s="225"/>
      <c r="AE43" s="522"/>
      <c r="AF43" s="522"/>
      <c r="AG43" s="225"/>
      <c r="AH43" s="225"/>
      <c r="AI43" s="225"/>
      <c r="AJ43" s="225"/>
      <c r="AK43" s="225"/>
      <c r="AL43" s="225"/>
      <c r="AM43" s="225"/>
      <c r="AN43" s="225"/>
    </row>
    <row r="44" spans="1:79" ht="15" customHeight="1" x14ac:dyDescent="0.35">
      <c r="B44" s="1385" t="s">
        <v>426</v>
      </c>
      <c r="C44" s="1386"/>
      <c r="D44" s="532"/>
      <c r="E44" s="55"/>
      <c r="F44" s="241"/>
      <c r="G44" s="241"/>
      <c r="H44" s="37"/>
      <c r="I44" s="37"/>
      <c r="J44" s="37"/>
      <c r="K44" s="37"/>
      <c r="L44" s="535"/>
      <c r="M44" s="37"/>
      <c r="N44" s="37"/>
      <c r="O44" s="37"/>
      <c r="P44" s="37"/>
      <c r="Q44" s="37"/>
      <c r="R44" s="37"/>
      <c r="S44" s="37"/>
      <c r="T44" s="37"/>
      <c r="U44" s="516"/>
      <c r="V44" s="510"/>
      <c r="W44" s="510"/>
      <c r="X44" s="510"/>
      <c r="Y44" s="514"/>
      <c r="Z44" s="514"/>
      <c r="AA44" s="514"/>
      <c r="AB44" s="514"/>
      <c r="AC44" s="514"/>
      <c r="AD44" s="225"/>
      <c r="AE44" s="522"/>
      <c r="AF44" s="522"/>
      <c r="AG44" s="225"/>
      <c r="AH44" s="225"/>
      <c r="AI44" s="225"/>
      <c r="AJ44" s="225"/>
      <c r="AK44" s="225"/>
      <c r="AL44" s="225"/>
      <c r="AM44" s="225"/>
      <c r="AN44" s="225"/>
    </row>
    <row r="45" spans="1:79" ht="21" customHeight="1" x14ac:dyDescent="0.35">
      <c r="B45" s="432" t="s">
        <v>427</v>
      </c>
      <c r="C45" s="536"/>
      <c r="D45" s="432"/>
      <c r="E45" s="536"/>
      <c r="F45" s="501"/>
      <c r="G45" s="501"/>
      <c r="H45" s="517"/>
      <c r="I45" s="517"/>
      <c r="J45" s="517"/>
      <c r="K45" s="517"/>
      <c r="L45" s="537"/>
      <c r="M45" s="517">
        <f>'ARP Quarterly'!C6</f>
        <v>0</v>
      </c>
      <c r="N45" s="517">
        <f>'ARP Quarterly'!D6</f>
        <v>58.782959999999989</v>
      </c>
      <c r="O45" s="517">
        <f>'ARP Quarterly'!E6</f>
        <v>267.78904</v>
      </c>
      <c r="P45" s="517">
        <f>'ARP Quarterly'!F6</f>
        <v>110.24799999999999</v>
      </c>
      <c r="Q45" s="517">
        <f>'ARP Quarterly'!G6</f>
        <v>110.24799999999999</v>
      </c>
      <c r="R45" s="517">
        <f>'ARP Quarterly'!H6</f>
        <v>110.24799999999999</v>
      </c>
      <c r="S45" s="517">
        <f>'ARP Quarterly'!I6</f>
        <v>110.24799999999999</v>
      </c>
      <c r="T45" s="517">
        <f>'ARP Quarterly'!J6</f>
        <v>12.726000000000001</v>
      </c>
      <c r="U45" s="517">
        <f>'ARP Quarterly'!K6</f>
        <v>12.726000000000001</v>
      </c>
      <c r="V45" s="517">
        <f>'ARP Quarterly'!L6</f>
        <v>12.726000000000001</v>
      </c>
      <c r="W45" s="517">
        <f>'ARP Quarterly'!M6</f>
        <v>12.726000000000001</v>
      </c>
      <c r="X45" s="517">
        <f>'ARP Quarterly'!N6</f>
        <v>1.365</v>
      </c>
      <c r="Y45" s="515">
        <f>'ARP Quarterly'!O6</f>
        <v>1.365</v>
      </c>
      <c r="Z45" s="515">
        <f>'ARP Quarterly'!P6</f>
        <v>1.365</v>
      </c>
      <c r="AA45" s="515">
        <f>'ARP Quarterly'!Q6</f>
        <v>1.365</v>
      </c>
      <c r="AB45" s="515">
        <f>'ARP Quarterly'!R6</f>
        <v>-0.90100000000000025</v>
      </c>
      <c r="AC45" s="515">
        <f>'ARP Quarterly'!S6</f>
        <v>-0.90100000000000025</v>
      </c>
      <c r="AD45" s="515">
        <f>'ARP Quarterly'!T6</f>
        <v>-0.90100000000000025</v>
      </c>
      <c r="AE45" s="515">
        <f>'ARP Quarterly'!U6</f>
        <v>-0.90100000000000025</v>
      </c>
      <c r="AF45" s="515">
        <f>'ARP Quarterly'!V6</f>
        <v>-2.1500000000000004</v>
      </c>
      <c r="AG45" s="513">
        <v>0</v>
      </c>
      <c r="AH45" s="513">
        <v>0</v>
      </c>
      <c r="AI45" s="513">
        <v>0</v>
      </c>
      <c r="AJ45" s="513">
        <v>0</v>
      </c>
      <c r="AK45" s="513">
        <v>0</v>
      </c>
      <c r="AL45" s="513">
        <v>0</v>
      </c>
      <c r="AM45" s="513">
        <v>0</v>
      </c>
      <c r="AN45" s="513">
        <v>0</v>
      </c>
    </row>
    <row r="46" spans="1:79" ht="19.5" customHeight="1" x14ac:dyDescent="0.35">
      <c r="A46" s="509"/>
      <c r="B46" s="544" t="s">
        <v>199</v>
      </c>
      <c r="C46" s="545"/>
      <c r="D46" s="544"/>
      <c r="E46" s="545"/>
      <c r="F46" s="518">
        <f>F11-F45</f>
        <v>60.5</v>
      </c>
      <c r="G46" s="518">
        <f>G11-G45</f>
        <v>81.400000000000006</v>
      </c>
      <c r="H46" s="518">
        <f t="shared" ref="H46:AE46" si="73">H11-H45</f>
        <v>82.1</v>
      </c>
      <c r="I46" s="518">
        <f>I11-I45</f>
        <v>80</v>
      </c>
      <c r="J46" s="518">
        <f t="shared" si="73"/>
        <v>1031.8</v>
      </c>
      <c r="K46" s="518">
        <f t="shared" si="73"/>
        <v>1163.3</v>
      </c>
      <c r="L46" s="518">
        <f>L11-L45</f>
        <v>516.4</v>
      </c>
      <c r="M46" s="518">
        <f>M11-M45</f>
        <v>518.1</v>
      </c>
      <c r="N46" s="518">
        <f t="shared" si="73"/>
        <v>763.21704</v>
      </c>
      <c r="O46" s="518">
        <f>O11-O45</f>
        <v>405.61095999999998</v>
      </c>
      <c r="P46" s="518">
        <f>P11-P45</f>
        <v>303.15199999999999</v>
      </c>
      <c r="Q46" s="518">
        <f t="shared" si="73"/>
        <v>40.552000000000021</v>
      </c>
      <c r="R46" s="518">
        <f t="shared" si="73"/>
        <v>19.052000000000021</v>
      </c>
      <c r="S46" s="518">
        <f t="shared" si="73"/>
        <v>8.1520000000000152</v>
      </c>
      <c r="T46" s="518">
        <f t="shared" si="73"/>
        <v>98.073999999999998</v>
      </c>
      <c r="U46" s="518">
        <f t="shared" si="73"/>
        <v>91.073999999999998</v>
      </c>
      <c r="V46" s="518">
        <f>V11-V45</f>
        <v>89.073999999999998</v>
      </c>
      <c r="W46" s="518">
        <f t="shared" si="73"/>
        <v>91.274000000000001</v>
      </c>
      <c r="X46" s="518">
        <f>X11-X45</f>
        <v>97.535000000000011</v>
      </c>
      <c r="Y46" s="547">
        <f t="shared" si="73"/>
        <v>94.734999999999999</v>
      </c>
      <c r="Z46" s="547">
        <f t="shared" si="73"/>
        <v>92.335000000000008</v>
      </c>
      <c r="AA46" s="547">
        <f t="shared" si="73"/>
        <v>90.734999999999999</v>
      </c>
      <c r="AB46" s="547">
        <f t="shared" si="73"/>
        <v>94.400999999999996</v>
      </c>
      <c r="AC46" s="547">
        <f>AC11-AC45</f>
        <v>105.00099999999999</v>
      </c>
      <c r="AD46" s="547">
        <f t="shared" si="73"/>
        <v>96.978999999999999</v>
      </c>
      <c r="AE46" s="547">
        <f t="shared" si="73"/>
        <v>96.978999999999999</v>
      </c>
      <c r="AF46" s="547">
        <f>AF11-AF45</f>
        <v>101.318</v>
      </c>
      <c r="AG46" s="547">
        <f>AG11-AG45</f>
        <v>99.167999999999992</v>
      </c>
      <c r="AH46" s="547">
        <f>AH11-AH45</f>
        <v>99.167999999999992</v>
      </c>
      <c r="AI46" s="547">
        <f t="shared" ref="AI46:AN46" si="74">AI11-AI45</f>
        <v>99.167999999999992</v>
      </c>
      <c r="AJ46" s="547">
        <f t="shared" si="74"/>
        <v>99.167999999999992</v>
      </c>
      <c r="AK46" s="547">
        <f t="shared" si="74"/>
        <v>99.167999999999992</v>
      </c>
      <c r="AL46" s="547">
        <f t="shared" si="74"/>
        <v>99.167999999999992</v>
      </c>
      <c r="AM46" s="547">
        <f t="shared" si="74"/>
        <v>99.167999999999992</v>
      </c>
      <c r="AN46" s="547">
        <f t="shared" si="74"/>
        <v>99.167999999999992</v>
      </c>
      <c r="AO46" s="509"/>
      <c r="AP46" s="509"/>
      <c r="AQ46" s="509"/>
      <c r="AR46" s="509"/>
      <c r="AS46" s="509"/>
      <c r="AT46" s="509"/>
      <c r="AU46" s="509"/>
      <c r="AV46" s="509"/>
      <c r="AW46" s="509"/>
      <c r="AX46" s="509"/>
      <c r="AY46" s="509"/>
      <c r="AZ46" s="509"/>
      <c r="BA46" s="509"/>
      <c r="BB46" s="509"/>
      <c r="BC46" s="509"/>
      <c r="BD46" s="509"/>
      <c r="BE46" s="509"/>
      <c r="BF46" s="509"/>
      <c r="BG46" s="509"/>
      <c r="BH46" s="509"/>
      <c r="BI46" s="509"/>
      <c r="BJ46" s="509"/>
      <c r="BK46" s="509"/>
      <c r="BL46" s="509"/>
      <c r="BM46" s="509"/>
      <c r="BN46" s="509"/>
      <c r="BO46" s="509"/>
      <c r="BP46" s="509"/>
      <c r="BQ46" s="509"/>
      <c r="BR46" s="509"/>
      <c r="BS46" s="509"/>
      <c r="BT46" s="509"/>
      <c r="BU46" s="509"/>
      <c r="BV46" s="509"/>
      <c r="BW46" s="509"/>
      <c r="BX46" s="509"/>
      <c r="BY46" s="509"/>
      <c r="BZ46" s="509"/>
      <c r="CA46" s="509"/>
    </row>
    <row r="47" spans="1:79" ht="19.5" customHeight="1" x14ac:dyDescent="0.35">
      <c r="A47" s="509"/>
      <c r="B47" s="263"/>
      <c r="C47" s="263"/>
      <c r="D47" s="263"/>
      <c r="E47" s="263"/>
      <c r="F47" s="546"/>
      <c r="G47" s="546"/>
      <c r="H47" s="546"/>
      <c r="I47" s="546"/>
      <c r="J47" s="546"/>
      <c r="K47" s="546"/>
      <c r="L47" s="546"/>
      <c r="M47" s="546"/>
      <c r="N47" s="546"/>
      <c r="O47" s="546"/>
      <c r="P47" s="546"/>
      <c r="Q47" s="546"/>
      <c r="R47" s="546"/>
      <c r="S47" s="546"/>
      <c r="T47" s="546"/>
      <c r="U47" s="546"/>
      <c r="V47" s="546"/>
      <c r="W47" s="546"/>
      <c r="X47" s="546"/>
      <c r="Y47" s="546"/>
      <c r="Z47" s="546"/>
      <c r="AA47" s="546"/>
      <c r="AB47" s="546"/>
      <c r="AC47" s="546"/>
      <c r="AG47" s="509"/>
      <c r="AH47" s="509"/>
      <c r="AI47" s="509"/>
      <c r="AJ47" s="509"/>
      <c r="AK47" s="509"/>
      <c r="AL47" s="509"/>
      <c r="AM47" s="509"/>
      <c r="AN47" s="509"/>
      <c r="AO47" s="509"/>
      <c r="AP47" s="509"/>
      <c r="AQ47" s="509"/>
      <c r="AR47" s="509"/>
      <c r="AS47" s="509"/>
      <c r="AT47" s="509"/>
      <c r="AU47" s="509"/>
      <c r="AV47" s="509"/>
      <c r="AW47" s="509"/>
      <c r="AX47" s="509"/>
      <c r="AY47" s="509"/>
      <c r="AZ47" s="509"/>
      <c r="BA47" s="509"/>
      <c r="BB47" s="509"/>
      <c r="BC47" s="509"/>
      <c r="BD47" s="509"/>
      <c r="BE47" s="509"/>
      <c r="BF47" s="509"/>
      <c r="BG47" s="509"/>
      <c r="BH47" s="509"/>
      <c r="BI47" s="509"/>
      <c r="BJ47" s="509"/>
      <c r="BK47" s="509"/>
      <c r="BL47" s="509"/>
      <c r="BM47" s="509"/>
      <c r="BN47" s="509"/>
      <c r="BO47" s="509"/>
      <c r="BP47" s="509"/>
      <c r="BQ47" s="509"/>
      <c r="BR47" s="509"/>
      <c r="BS47" s="509"/>
      <c r="BT47" s="509"/>
      <c r="BU47" s="509"/>
      <c r="BV47" s="509"/>
      <c r="BW47" s="509"/>
      <c r="BX47" s="509"/>
      <c r="BY47" s="509"/>
      <c r="BZ47" s="509"/>
      <c r="CA47" s="509"/>
    </row>
    <row r="48" spans="1:79" ht="19.5" customHeight="1" x14ac:dyDescent="0.35">
      <c r="A48" s="509"/>
      <c r="B48" s="263" t="s">
        <v>861</v>
      </c>
      <c r="C48" s="263"/>
      <c r="D48" s="263"/>
      <c r="E48" s="263"/>
      <c r="F48" s="546"/>
      <c r="G48" s="546"/>
      <c r="H48" s="546"/>
      <c r="I48" s="546"/>
      <c r="J48" s="546"/>
      <c r="K48" s="546"/>
      <c r="L48" s="546"/>
      <c r="M48" s="546"/>
      <c r="N48" s="546"/>
      <c r="O48" s="546"/>
      <c r="P48" s="546"/>
      <c r="Q48" s="546"/>
      <c r="R48" s="546"/>
      <c r="S48" s="546"/>
      <c r="T48" s="546">
        <v>110.8</v>
      </c>
      <c r="U48" s="528">
        <v>96.021999999999991</v>
      </c>
      <c r="V48" s="240">
        <v>88.50800000000001</v>
      </c>
      <c r="W48" s="240">
        <v>88.50800000000001</v>
      </c>
      <c r="X48" s="240">
        <v>85.631</v>
      </c>
      <c r="Y48" s="240">
        <v>85.631</v>
      </c>
      <c r="Z48" s="240">
        <v>85.631</v>
      </c>
      <c r="AA48" s="240">
        <v>85.631</v>
      </c>
      <c r="AB48" s="240">
        <v>90.463999999999999</v>
      </c>
      <c r="AC48" s="240">
        <v>90.463999999999999</v>
      </c>
      <c r="AD48" s="527">
        <f>U11-U48</f>
        <v>7.7780000000000058</v>
      </c>
      <c r="AG48" s="509"/>
      <c r="AH48" s="509"/>
      <c r="AI48" s="509"/>
      <c r="AJ48" s="509"/>
      <c r="AK48" s="509"/>
      <c r="AL48" s="509"/>
      <c r="AM48" s="509"/>
      <c r="AN48" s="509"/>
      <c r="AO48" s="509"/>
      <c r="AP48" s="509"/>
      <c r="AQ48" s="509"/>
      <c r="AR48" s="509"/>
      <c r="AS48" s="509"/>
      <c r="AT48" s="509"/>
      <c r="AU48" s="509"/>
      <c r="AV48" s="509"/>
      <c r="AW48" s="509"/>
      <c r="AX48" s="509"/>
      <c r="AY48" s="509"/>
      <c r="AZ48" s="509"/>
      <c r="BA48" s="509"/>
      <c r="BB48" s="509"/>
      <c r="BC48" s="509"/>
      <c r="BD48" s="509"/>
      <c r="BE48" s="509"/>
      <c r="BF48" s="509"/>
      <c r="BG48" s="509"/>
      <c r="BH48" s="509"/>
      <c r="BI48" s="509"/>
      <c r="BJ48" s="509"/>
      <c r="BK48" s="509"/>
      <c r="BL48" s="509"/>
      <c r="BM48" s="509"/>
      <c r="BN48" s="509"/>
      <c r="BO48" s="509"/>
      <c r="BP48" s="509"/>
      <c r="BQ48" s="509"/>
      <c r="BR48" s="509"/>
      <c r="BS48" s="509"/>
      <c r="BT48" s="509"/>
      <c r="BU48" s="509"/>
      <c r="BV48" s="509"/>
      <c r="BW48" s="509"/>
      <c r="BX48" s="509"/>
      <c r="BY48" s="509"/>
      <c r="BZ48" s="509"/>
      <c r="CA48" s="509"/>
    </row>
    <row r="49" spans="2:30" x14ac:dyDescent="0.35">
      <c r="B49" s="523" t="s">
        <v>403</v>
      </c>
      <c r="C49" s="245"/>
      <c r="D49" s="245"/>
      <c r="E49" s="245"/>
      <c r="F49" s="245"/>
      <c r="G49" s="245"/>
      <c r="H49" s="245"/>
      <c r="I49" s="245"/>
      <c r="J49" s="245"/>
      <c r="K49" s="245"/>
      <c r="L49" s="245"/>
      <c r="M49" s="245"/>
      <c r="N49" s="245"/>
      <c r="O49" s="245"/>
      <c r="P49" s="493"/>
      <c r="Q49" s="493"/>
      <c r="R49" s="493"/>
      <c r="S49" s="493"/>
      <c r="T49" s="524">
        <v>78.977999999999994</v>
      </c>
      <c r="U49" s="525">
        <v>76</v>
      </c>
      <c r="V49" s="525">
        <v>76</v>
      </c>
      <c r="W49" s="525">
        <v>76</v>
      </c>
      <c r="X49" s="525">
        <v>76</v>
      </c>
      <c r="Y49" s="525">
        <v>76</v>
      </c>
      <c r="Z49" s="525">
        <v>76</v>
      </c>
      <c r="AA49" s="525">
        <v>76</v>
      </c>
      <c r="AB49" s="525">
        <v>76</v>
      </c>
      <c r="AC49" s="525">
        <v>76</v>
      </c>
      <c r="AD49" s="527">
        <f t="shared" ref="AD49:AD83" si="75">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27">
        <f t="shared" si="75"/>
        <v>-7.5139999999999958</v>
      </c>
    </row>
    <row r="51" spans="2:30" x14ac:dyDescent="0.35">
      <c r="B51" t="s">
        <v>50</v>
      </c>
      <c r="S51" s="56"/>
      <c r="T51" s="75">
        <v>0</v>
      </c>
      <c r="U51" s="74"/>
      <c r="V51" s="74"/>
      <c r="W51" s="74"/>
      <c r="X51" s="74"/>
      <c r="Y51" s="74"/>
      <c r="AD51" s="527">
        <f t="shared" si="75"/>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27">
        <f t="shared" si="75"/>
        <v>-7.5139999999999976</v>
      </c>
    </row>
    <row r="53" spans="2:30" x14ac:dyDescent="0.35">
      <c r="B53" t="s">
        <v>145</v>
      </c>
      <c r="T53" s="75">
        <v>0</v>
      </c>
      <c r="U53" s="74"/>
      <c r="V53" s="74"/>
      <c r="W53" s="74"/>
      <c r="X53" s="74"/>
      <c r="Y53" s="74"/>
      <c r="AD53" s="527">
        <f t="shared" si="75"/>
        <v>0</v>
      </c>
    </row>
    <row r="54" spans="2:30" x14ac:dyDescent="0.35">
      <c r="B54" t="s">
        <v>143</v>
      </c>
      <c r="T54" s="75">
        <v>0</v>
      </c>
      <c r="U54" s="74">
        <v>0</v>
      </c>
      <c r="V54" s="74">
        <v>0</v>
      </c>
      <c r="W54" s="74">
        <v>0</v>
      </c>
      <c r="X54" s="74">
        <v>0</v>
      </c>
      <c r="Y54" s="74">
        <v>0</v>
      </c>
      <c r="Z54" s="74">
        <v>0</v>
      </c>
      <c r="AA54" s="74">
        <v>0</v>
      </c>
      <c r="AB54" s="74">
        <v>0</v>
      </c>
      <c r="AC54" s="74">
        <v>0</v>
      </c>
      <c r="AD54" s="527">
        <f t="shared" si="75"/>
        <v>0</v>
      </c>
    </row>
    <row r="55" spans="2:30" x14ac:dyDescent="0.35">
      <c r="B55" t="s">
        <v>142</v>
      </c>
      <c r="T55" s="75">
        <v>0.4</v>
      </c>
      <c r="U55" s="74">
        <v>0</v>
      </c>
      <c r="V55" s="74">
        <v>0</v>
      </c>
      <c r="W55" s="74">
        <v>0</v>
      </c>
      <c r="X55" s="74">
        <v>0</v>
      </c>
      <c r="Y55" s="74">
        <v>0</v>
      </c>
      <c r="Z55" s="74">
        <v>0</v>
      </c>
      <c r="AA55" s="74">
        <v>0</v>
      </c>
      <c r="AB55" s="74">
        <v>0</v>
      </c>
      <c r="AC55" s="74">
        <v>0</v>
      </c>
      <c r="AD55" s="527">
        <f t="shared" si="75"/>
        <v>0</v>
      </c>
    </row>
    <row r="56" spans="2:30" x14ac:dyDescent="0.35">
      <c r="B56" t="s">
        <v>409</v>
      </c>
      <c r="T56" s="75">
        <v>3.6</v>
      </c>
      <c r="U56" s="74"/>
      <c r="V56" s="74"/>
      <c r="W56" s="74"/>
      <c r="X56" s="74"/>
      <c r="Y56" s="74"/>
      <c r="AD56" s="527">
        <f t="shared" si="75"/>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27">
        <f t="shared" si="75"/>
        <v>-7.5140000000000002</v>
      </c>
    </row>
    <row r="58" spans="2:30" x14ac:dyDescent="0.35">
      <c r="B58" t="s">
        <v>148</v>
      </c>
      <c r="T58" s="75">
        <v>0</v>
      </c>
      <c r="U58" s="74">
        <v>0</v>
      </c>
      <c r="V58" s="74">
        <v>0</v>
      </c>
      <c r="W58" s="74">
        <v>0</v>
      </c>
      <c r="X58" s="74">
        <v>0</v>
      </c>
      <c r="Y58" s="74">
        <v>0</v>
      </c>
      <c r="Z58" s="74">
        <v>0</v>
      </c>
      <c r="AA58" s="74">
        <v>0</v>
      </c>
      <c r="AB58" s="74">
        <v>0</v>
      </c>
      <c r="AC58" s="74">
        <v>0</v>
      </c>
      <c r="AD58" s="527">
        <f t="shared" si="75"/>
        <v>0</v>
      </c>
    </row>
    <row r="59" spans="2:30" x14ac:dyDescent="0.35">
      <c r="B59" t="s">
        <v>412</v>
      </c>
      <c r="T59" s="75">
        <v>0</v>
      </c>
      <c r="U59" s="74">
        <v>0</v>
      </c>
      <c r="V59" s="74">
        <v>0</v>
      </c>
      <c r="W59" s="74">
        <v>0</v>
      </c>
      <c r="X59" s="74">
        <v>0</v>
      </c>
      <c r="Y59" s="74">
        <v>0</v>
      </c>
      <c r="Z59" s="74">
        <v>0</v>
      </c>
      <c r="AA59" s="74">
        <v>0</v>
      </c>
      <c r="AB59" s="74">
        <v>0</v>
      </c>
      <c r="AC59" s="74">
        <v>0</v>
      </c>
      <c r="AD59" s="527">
        <f t="shared" si="75"/>
        <v>0</v>
      </c>
    </row>
    <row r="60" spans="2:30" x14ac:dyDescent="0.35">
      <c r="B60" t="s">
        <v>413</v>
      </c>
      <c r="T60" s="75">
        <v>0</v>
      </c>
      <c r="U60" s="74">
        <v>0</v>
      </c>
      <c r="V60" s="74">
        <v>0</v>
      </c>
      <c r="W60" s="74">
        <v>0</v>
      </c>
      <c r="X60" s="74">
        <v>0</v>
      </c>
      <c r="Y60" s="74">
        <v>0</v>
      </c>
      <c r="Z60" s="74">
        <v>0</v>
      </c>
      <c r="AA60" s="74">
        <v>0</v>
      </c>
      <c r="AB60" s="74">
        <v>0</v>
      </c>
      <c r="AC60" s="74">
        <v>0</v>
      </c>
      <c r="AD60" s="527">
        <f t="shared" si="75"/>
        <v>0</v>
      </c>
    </row>
    <row r="61" spans="2:30" x14ac:dyDescent="0.35">
      <c r="B61" t="s">
        <v>414</v>
      </c>
      <c r="T61" s="74">
        <v>8.4</v>
      </c>
      <c r="U61" s="74">
        <v>8.4</v>
      </c>
      <c r="V61" s="74">
        <v>8.4</v>
      </c>
      <c r="W61" s="74">
        <v>8.4</v>
      </c>
      <c r="X61" s="74">
        <v>0.2</v>
      </c>
      <c r="Y61" s="74">
        <v>0.2</v>
      </c>
      <c r="Z61" s="74">
        <v>0.2</v>
      </c>
      <c r="AA61" s="74">
        <v>0.2</v>
      </c>
      <c r="AB61" s="74">
        <v>0</v>
      </c>
      <c r="AC61" s="74">
        <v>0</v>
      </c>
      <c r="AD61" s="527">
        <f t="shared" si="75"/>
        <v>0</v>
      </c>
    </row>
    <row r="62" spans="2:30" x14ac:dyDescent="0.35">
      <c r="B62" t="s">
        <v>415</v>
      </c>
      <c r="T62" s="74">
        <v>0</v>
      </c>
      <c r="U62" s="74">
        <v>0</v>
      </c>
      <c r="V62" s="74">
        <v>0</v>
      </c>
      <c r="W62" s="74">
        <v>0</v>
      </c>
      <c r="X62" s="74">
        <v>0</v>
      </c>
      <c r="Y62" s="74">
        <v>0</v>
      </c>
      <c r="Z62" s="74">
        <v>0</v>
      </c>
      <c r="AA62" s="74">
        <v>0</v>
      </c>
      <c r="AB62" s="74">
        <v>0</v>
      </c>
      <c r="AC62" s="74">
        <v>0</v>
      </c>
      <c r="AD62" s="527">
        <f t="shared" si="75"/>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27">
        <f t="shared" si="75"/>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27">
        <f t="shared" si="75"/>
        <v>0</v>
      </c>
    </row>
    <row r="65" spans="2:30" x14ac:dyDescent="0.35">
      <c r="B65" t="s">
        <v>416</v>
      </c>
      <c r="T65" s="74"/>
      <c r="U65" s="74"/>
      <c r="AD65" s="527">
        <f t="shared" si="75"/>
        <v>0</v>
      </c>
    </row>
    <row r="66" spans="2:30" x14ac:dyDescent="0.35">
      <c r="B66" t="s">
        <v>417</v>
      </c>
      <c r="T66" s="74"/>
      <c r="U66" s="74"/>
      <c r="AD66" s="527">
        <f t="shared" si="75"/>
        <v>0</v>
      </c>
    </row>
    <row r="67" spans="2:30" x14ac:dyDescent="0.35">
      <c r="B67" t="s">
        <v>418</v>
      </c>
      <c r="T67" s="74"/>
      <c r="U67" s="74"/>
      <c r="AD67" s="527">
        <f t="shared" si="75"/>
        <v>0</v>
      </c>
    </row>
    <row r="68" spans="2:30" x14ac:dyDescent="0.35">
      <c r="B68" t="s">
        <v>415</v>
      </c>
      <c r="T68" s="74"/>
      <c r="U68" s="74"/>
      <c r="AD68" s="527">
        <f t="shared" si="75"/>
        <v>0</v>
      </c>
    </row>
    <row r="69" spans="2:30" x14ac:dyDescent="0.35">
      <c r="B69" t="s">
        <v>412</v>
      </c>
      <c r="T69" s="526"/>
      <c r="U69" s="526"/>
      <c r="AD69" s="527">
        <f t="shared" si="75"/>
        <v>0</v>
      </c>
    </row>
    <row r="70" spans="2:30" x14ac:dyDescent="0.35">
      <c r="B70" t="s">
        <v>419</v>
      </c>
      <c r="T70" s="526"/>
      <c r="U70" s="526"/>
      <c r="AD70" s="527">
        <f t="shared" si="75"/>
        <v>0</v>
      </c>
    </row>
    <row r="71" spans="2:30" x14ac:dyDescent="0.35">
      <c r="B71" t="s">
        <v>420</v>
      </c>
      <c r="T71" s="74"/>
      <c r="U71" s="74"/>
      <c r="AD71" s="527">
        <f t="shared" si="75"/>
        <v>0</v>
      </c>
    </row>
    <row r="72" spans="2:30" x14ac:dyDescent="0.35">
      <c r="B72" t="s">
        <v>421</v>
      </c>
      <c r="T72" s="74"/>
      <c r="U72" s="74"/>
      <c r="AD72" s="527">
        <f t="shared" si="75"/>
        <v>0</v>
      </c>
    </row>
    <row r="73" spans="2:30" x14ac:dyDescent="0.35">
      <c r="B73" t="s">
        <v>143</v>
      </c>
      <c r="T73" s="74">
        <v>0</v>
      </c>
      <c r="U73" s="74">
        <v>0</v>
      </c>
      <c r="V73" s="74">
        <v>0</v>
      </c>
      <c r="W73" s="74">
        <v>0</v>
      </c>
      <c r="X73" s="74">
        <v>0</v>
      </c>
      <c r="Y73" s="74">
        <v>0</v>
      </c>
      <c r="Z73" s="74">
        <v>0</v>
      </c>
      <c r="AA73" s="74">
        <v>0</v>
      </c>
      <c r="AB73" s="74">
        <v>0</v>
      </c>
      <c r="AC73" s="74">
        <v>0</v>
      </c>
      <c r="AD73" s="527">
        <f t="shared" si="75"/>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27">
        <f t="shared" si="75"/>
        <v>0</v>
      </c>
    </row>
    <row r="75" spans="2:30" x14ac:dyDescent="0.35">
      <c r="B75" t="s">
        <v>148</v>
      </c>
      <c r="T75" s="74">
        <v>0</v>
      </c>
      <c r="U75" s="74">
        <v>0</v>
      </c>
      <c r="V75" s="74">
        <v>0</v>
      </c>
      <c r="W75" s="74">
        <v>0</v>
      </c>
      <c r="X75" s="74">
        <v>0</v>
      </c>
      <c r="Y75" s="74">
        <v>0</v>
      </c>
      <c r="Z75" s="74">
        <v>0</v>
      </c>
      <c r="AA75" s="74">
        <v>0</v>
      </c>
      <c r="AB75" s="74">
        <v>0</v>
      </c>
      <c r="AC75" s="74">
        <v>0</v>
      </c>
      <c r="AD75" s="527">
        <f t="shared" si="75"/>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27">
        <f t="shared" si="75"/>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27">
        <f t="shared" si="75"/>
        <v>0</v>
      </c>
    </row>
    <row r="78" spans="2:30" x14ac:dyDescent="0.35">
      <c r="B78" t="s">
        <v>424</v>
      </c>
      <c r="T78" s="74">
        <v>8.4</v>
      </c>
      <c r="U78" s="74">
        <v>8.4</v>
      </c>
      <c r="V78" s="74">
        <v>8.4</v>
      </c>
      <c r="W78" s="74">
        <v>8.4</v>
      </c>
      <c r="X78" s="74">
        <v>0.2</v>
      </c>
      <c r="Y78" s="74">
        <v>0.2</v>
      </c>
      <c r="Z78" s="74">
        <v>0.2</v>
      </c>
      <c r="AA78" s="74">
        <v>0.2</v>
      </c>
      <c r="AB78" s="74">
        <v>0</v>
      </c>
      <c r="AC78" s="74">
        <v>0</v>
      </c>
      <c r="AD78" s="527">
        <f t="shared" si="75"/>
        <v>0</v>
      </c>
    </row>
    <row r="79" spans="2:30" x14ac:dyDescent="0.35">
      <c r="B79" t="s">
        <v>425</v>
      </c>
      <c r="T79" s="74">
        <v>0</v>
      </c>
      <c r="U79" s="74">
        <v>0</v>
      </c>
      <c r="V79" s="74">
        <v>0</v>
      </c>
      <c r="W79" s="74">
        <v>0</v>
      </c>
      <c r="X79" s="74">
        <v>0</v>
      </c>
      <c r="Y79" s="74">
        <v>0</v>
      </c>
      <c r="Z79" s="74">
        <v>0</v>
      </c>
      <c r="AA79" s="74">
        <v>0</v>
      </c>
      <c r="AB79" s="74">
        <v>0</v>
      </c>
      <c r="AC79" s="74">
        <v>0</v>
      </c>
      <c r="AD79" s="527">
        <f t="shared" si="75"/>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27">
        <f t="shared" si="75"/>
        <v>0</v>
      </c>
    </row>
    <row r="81" spans="2:30" x14ac:dyDescent="0.35">
      <c r="B81" t="s">
        <v>426</v>
      </c>
      <c r="T81" s="74"/>
      <c r="U81" s="74"/>
      <c r="AD81" s="527">
        <f t="shared" si="75"/>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27">
        <f t="shared" si="75"/>
        <v>0</v>
      </c>
    </row>
    <row r="83" spans="2:30" x14ac:dyDescent="0.35">
      <c r="B83" t="s">
        <v>199</v>
      </c>
      <c r="T83" s="75">
        <v>98.073999999999998</v>
      </c>
      <c r="U83" s="527">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27">
        <f t="shared" si="75"/>
        <v>7.7780000000000058</v>
      </c>
    </row>
    <row r="84" spans="2:30" x14ac:dyDescent="0.35">
      <c r="AD84" s="527"/>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6"/>
  <sheetViews>
    <sheetView zoomScale="70" zoomScaleNormal="70" workbookViewId="0">
      <pane xSplit="2" ySplit="4" topLeftCell="W17" activePane="bottomRight" state="frozen"/>
      <selection pane="topRight" activeCell="C1" sqref="C1"/>
      <selection pane="bottomLeft" activeCell="A5" sqref="A5"/>
      <selection pane="bottomRight" activeCell="AJ31" sqref="AJ31"/>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253" t="s">
        <v>54</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219"/>
      <c r="AE1" s="219"/>
      <c r="AF1" s="219"/>
      <c r="AG1" s="219"/>
      <c r="AH1" s="219"/>
    </row>
    <row r="2" spans="2:41" ht="14.25" hidden="1" customHeight="1" x14ac:dyDescent="0.35">
      <c r="B2" s="1254" t="s">
        <v>856</v>
      </c>
      <c r="C2" s="1254"/>
      <c r="D2" s="1254"/>
      <c r="E2" s="1254"/>
      <c r="F2" s="1254"/>
      <c r="G2" s="1254"/>
      <c r="H2" s="1254"/>
      <c r="I2" s="1254"/>
      <c r="J2" s="1254"/>
      <c r="K2" s="1254"/>
      <c r="L2" s="1254"/>
      <c r="M2" s="1254"/>
      <c r="N2" s="1254"/>
      <c r="O2" s="1254"/>
      <c r="P2" s="1254"/>
      <c r="Q2" s="1254"/>
      <c r="R2" s="1254"/>
      <c r="S2" s="1254"/>
      <c r="T2" s="1254"/>
      <c r="U2" s="1254"/>
      <c r="V2" s="1255" t="s">
        <v>904</v>
      </c>
      <c r="W2" s="1255"/>
      <c r="X2" s="1255"/>
      <c r="Y2" s="1255"/>
      <c r="Z2" s="1255"/>
      <c r="AA2" s="1255"/>
      <c r="AB2" s="1255"/>
      <c r="AC2" s="591"/>
      <c r="AD2" s="591"/>
      <c r="AE2" s="591"/>
      <c r="AF2" s="591"/>
      <c r="AG2" s="591"/>
      <c r="AH2" s="591"/>
    </row>
    <row r="3" spans="2:41" ht="59.9" hidden="1" customHeight="1" x14ac:dyDescent="0.35">
      <c r="B3" s="1254"/>
      <c r="C3" s="1254"/>
      <c r="D3" s="1254"/>
      <c r="E3" s="1254"/>
      <c r="F3" s="1254"/>
      <c r="G3" s="1254"/>
      <c r="H3" s="1254"/>
      <c r="I3" s="1254"/>
      <c r="J3" s="1254"/>
      <c r="K3" s="1254"/>
      <c r="L3" s="1254"/>
      <c r="M3" s="1254"/>
      <c r="N3" s="1254"/>
      <c r="O3" s="1254"/>
      <c r="P3" s="1254"/>
      <c r="Q3" s="1254"/>
      <c r="R3" s="1254"/>
      <c r="S3" s="1254"/>
      <c r="T3" s="1254"/>
      <c r="U3" s="1254"/>
      <c r="V3" s="1255"/>
      <c r="W3" s="1255"/>
      <c r="X3" s="1255"/>
      <c r="Y3" s="1255"/>
      <c r="Z3" s="1255"/>
      <c r="AA3" s="1255"/>
      <c r="AB3" s="1255"/>
      <c r="AC3" s="591"/>
      <c r="AD3" s="591"/>
      <c r="AE3" s="591"/>
      <c r="AF3" s="591"/>
      <c r="AG3" s="591"/>
      <c r="AH3" s="591"/>
    </row>
    <row r="4" spans="2:41" ht="88.5" hidden="1" customHeight="1" x14ac:dyDescent="0.35">
      <c r="B4" s="1254"/>
      <c r="C4" s="1254"/>
      <c r="D4" s="1254"/>
      <c r="E4" s="1254"/>
      <c r="F4" s="1254"/>
      <c r="G4" s="1254"/>
      <c r="H4" s="1254"/>
      <c r="I4" s="1254"/>
      <c r="J4" s="1254"/>
      <c r="K4" s="1254"/>
      <c r="L4" s="1254"/>
      <c r="M4" s="1254"/>
      <c r="N4" s="1254"/>
      <c r="O4" s="1254"/>
      <c r="P4" s="1254"/>
      <c r="Q4" s="1254"/>
      <c r="R4" s="1254"/>
      <c r="S4" s="1254"/>
      <c r="T4" s="1254"/>
      <c r="U4" s="1254"/>
      <c r="V4" s="1255"/>
      <c r="W4" s="1255"/>
      <c r="X4" s="1255"/>
      <c r="Y4" s="1255"/>
      <c r="Z4" s="1255"/>
      <c r="AA4" s="1255"/>
      <c r="AB4" s="1255"/>
      <c r="AC4" s="591"/>
      <c r="AD4" s="591"/>
      <c r="AE4" s="591"/>
      <c r="AF4" s="591"/>
      <c r="AG4" s="591"/>
      <c r="AH4" s="591"/>
    </row>
    <row r="5" spans="2:41" ht="33" customHeight="1" x14ac:dyDescent="0.35">
      <c r="D5" s="591"/>
      <c r="E5" s="591"/>
      <c r="F5" s="591"/>
      <c r="G5" s="591"/>
      <c r="H5" s="591"/>
      <c r="I5" s="591"/>
      <c r="J5" s="591"/>
      <c r="K5" s="591"/>
      <c r="L5" s="591"/>
      <c r="M5" s="591"/>
      <c r="N5" s="591"/>
      <c r="O5" s="591"/>
      <c r="P5" s="591"/>
      <c r="Q5" s="591"/>
      <c r="R5" s="591"/>
      <c r="S5" s="591"/>
      <c r="T5" s="591"/>
      <c r="U5" s="591"/>
      <c r="V5" s="591"/>
      <c r="W5" s="591"/>
      <c r="X5" s="591"/>
      <c r="Y5" s="591"/>
      <c r="Z5" s="591"/>
      <c r="AA5" s="591"/>
      <c r="AB5" s="591"/>
      <c r="AC5" s="591"/>
      <c r="AD5" s="591"/>
      <c r="AE5" s="591"/>
      <c r="AF5" s="591"/>
      <c r="AG5" s="591"/>
      <c r="AH5" s="591"/>
    </row>
    <row r="6" spans="2:41" x14ac:dyDescent="0.35">
      <c r="B6" s="1391"/>
      <c r="C6" s="1391"/>
      <c r="D6" s="591"/>
      <c r="E6" s="591"/>
      <c r="F6" s="591"/>
      <c r="G6" s="591"/>
      <c r="H6" s="591"/>
      <c r="I6" s="591"/>
      <c r="J6" s="591"/>
      <c r="K6" s="591"/>
      <c r="L6" s="591"/>
      <c r="M6" s="591"/>
      <c r="N6" s="591"/>
      <c r="O6" s="591"/>
      <c r="P6" s="591"/>
      <c r="Q6" s="591"/>
      <c r="R6" s="591"/>
      <c r="S6" s="591"/>
      <c r="T6" s="591"/>
      <c r="U6" s="591"/>
      <c r="V6" s="591"/>
      <c r="W6" s="591"/>
      <c r="X6" s="591"/>
      <c r="Y6" s="591"/>
      <c r="Z6" s="591"/>
      <c r="AA6" s="591"/>
      <c r="AB6" s="591"/>
      <c r="AC6" s="591"/>
      <c r="AD6" s="591"/>
      <c r="AE6" s="591"/>
      <c r="AF6" s="591"/>
      <c r="AG6" s="591"/>
      <c r="AH6" s="591"/>
    </row>
    <row r="7" spans="2:41" ht="14.9" customHeight="1" x14ac:dyDescent="0.35">
      <c r="B7" s="1256" t="s">
        <v>402</v>
      </c>
      <c r="C7" s="1257"/>
      <c r="D7" s="1276" t="s">
        <v>279</v>
      </c>
      <c r="E7" s="1277"/>
      <c r="F7" s="1277"/>
      <c r="G7" s="1277"/>
      <c r="H7" s="1277"/>
      <c r="I7" s="1277"/>
      <c r="J7" s="1277"/>
      <c r="K7" s="1277"/>
      <c r="L7" s="1277"/>
      <c r="M7" s="1277"/>
      <c r="N7" s="1277"/>
      <c r="O7" s="1277"/>
      <c r="P7" s="1277"/>
      <c r="Q7" s="1277"/>
      <c r="R7" s="1277"/>
      <c r="S7" s="1277"/>
      <c r="T7" s="1277"/>
      <c r="U7" s="1277"/>
      <c r="V7" s="1277"/>
      <c r="W7" s="1277"/>
      <c r="X7" s="1277"/>
      <c r="Y7" s="1277"/>
      <c r="Z7" s="1277"/>
      <c r="AA7" s="1277"/>
      <c r="AB7" s="1278"/>
      <c r="AC7" s="1261" t="s">
        <v>280</v>
      </c>
      <c r="AD7" s="1262"/>
      <c r="AE7" s="1262"/>
      <c r="AF7" s="1262"/>
      <c r="AG7" s="1262"/>
      <c r="AH7" s="1262"/>
      <c r="AI7" s="1262"/>
      <c r="AJ7" s="1262"/>
      <c r="AK7" s="1262"/>
      <c r="AL7" s="1262"/>
      <c r="AM7" s="1262"/>
      <c r="AN7" s="1263"/>
    </row>
    <row r="8" spans="2:41" x14ac:dyDescent="0.35">
      <c r="B8" s="1258"/>
      <c r="C8" s="1390"/>
      <c r="D8" s="293">
        <v>2018</v>
      </c>
      <c r="E8" s="1264">
        <v>2019</v>
      </c>
      <c r="F8" s="1265"/>
      <c r="G8" s="1265"/>
      <c r="H8" s="1266"/>
      <c r="I8" s="1264">
        <v>2020</v>
      </c>
      <c r="J8" s="1265"/>
      <c r="K8" s="1265"/>
      <c r="L8" s="1266"/>
      <c r="M8" s="1264">
        <v>2021</v>
      </c>
      <c r="N8" s="1265"/>
      <c r="O8" s="1265"/>
      <c r="P8" s="1266"/>
      <c r="Q8" s="1264">
        <v>2022</v>
      </c>
      <c r="R8" s="1265"/>
      <c r="S8" s="1265"/>
      <c r="T8" s="1266"/>
      <c r="U8" s="299"/>
      <c r="V8" s="299">
        <v>2023</v>
      </c>
      <c r="W8" s="299"/>
      <c r="X8" s="306"/>
      <c r="Y8" s="453"/>
      <c r="Z8" s="299">
        <v>2024</v>
      </c>
      <c r="AA8" s="299"/>
      <c r="AB8" s="306"/>
      <c r="AC8" s="1270">
        <v>2025</v>
      </c>
      <c r="AD8" s="1271"/>
      <c r="AE8" s="1271"/>
      <c r="AF8" s="1272"/>
      <c r="AG8" s="1270">
        <v>2026</v>
      </c>
      <c r="AH8" s="1271"/>
      <c r="AI8" s="1271"/>
      <c r="AJ8" s="1272"/>
      <c r="AK8" s="1270">
        <v>2027</v>
      </c>
      <c r="AL8" s="1271"/>
      <c r="AM8" s="1271"/>
      <c r="AN8" s="1272"/>
      <c r="AO8" s="245"/>
    </row>
    <row r="9" spans="2:41" x14ac:dyDescent="0.35">
      <c r="B9" s="1274"/>
      <c r="C9" s="1351"/>
      <c r="D9" s="221" t="s">
        <v>281</v>
      </c>
      <c r="E9" s="221" t="s">
        <v>282</v>
      </c>
      <c r="F9" s="222" t="s">
        <v>283</v>
      </c>
      <c r="G9" s="222" t="s">
        <v>238</v>
      </c>
      <c r="H9" s="1237" t="s">
        <v>281</v>
      </c>
      <c r="I9" s="222" t="s">
        <v>282</v>
      </c>
      <c r="J9" s="222" t="s">
        <v>283</v>
      </c>
      <c r="K9" s="222" t="s">
        <v>238</v>
      </c>
      <c r="L9" s="222" t="s">
        <v>281</v>
      </c>
      <c r="M9" s="221" t="s">
        <v>282</v>
      </c>
      <c r="N9" s="222" t="s">
        <v>283</v>
      </c>
      <c r="O9" s="222" t="s">
        <v>238</v>
      </c>
      <c r="P9" s="222" t="s">
        <v>281</v>
      </c>
      <c r="Q9" s="221" t="s">
        <v>282</v>
      </c>
      <c r="R9" s="222" t="s">
        <v>283</v>
      </c>
      <c r="S9" s="222" t="s">
        <v>238</v>
      </c>
      <c r="T9" s="1237" t="s">
        <v>281</v>
      </c>
      <c r="U9" s="222" t="s">
        <v>282</v>
      </c>
      <c r="V9" s="283" t="s">
        <v>283</v>
      </c>
      <c r="W9" s="283" t="s">
        <v>238</v>
      </c>
      <c r="X9" s="281" t="s">
        <v>281</v>
      </c>
      <c r="Y9" s="282" t="s">
        <v>282</v>
      </c>
      <c r="Z9" s="288" t="s">
        <v>283</v>
      </c>
      <c r="AA9" s="283" t="s">
        <v>238</v>
      </c>
      <c r="AB9" s="283" t="s">
        <v>281</v>
      </c>
      <c r="AC9" s="282" t="s">
        <v>282</v>
      </c>
      <c r="AD9" s="267" t="s">
        <v>283</v>
      </c>
      <c r="AE9" s="269" t="s">
        <v>238</v>
      </c>
      <c r="AF9" s="269" t="s">
        <v>281</v>
      </c>
      <c r="AG9" s="232" t="s">
        <v>282</v>
      </c>
      <c r="AH9" s="267" t="s">
        <v>283</v>
      </c>
      <c r="AI9" s="267" t="s">
        <v>238</v>
      </c>
      <c r="AJ9" s="286" t="s">
        <v>281</v>
      </c>
      <c r="AK9" s="232" t="s">
        <v>282</v>
      </c>
      <c r="AL9" s="267" t="s">
        <v>283</v>
      </c>
      <c r="AM9" s="267" t="s">
        <v>238</v>
      </c>
      <c r="AN9" s="286" t="s">
        <v>281</v>
      </c>
      <c r="AO9" s="229"/>
    </row>
    <row r="10" spans="2:41" x14ac:dyDescent="0.35">
      <c r="B10" s="567" t="s">
        <v>101</v>
      </c>
      <c r="C10" s="724" t="s">
        <v>428</v>
      </c>
      <c r="D10" s="1244">
        <f>'[1]Haver Pivoted'!GO13</f>
        <v>589.5</v>
      </c>
      <c r="E10" s="571">
        <f>'[1]Haver Pivoted'!GP13</f>
        <v>598.70000000000005</v>
      </c>
      <c r="F10" s="571">
        <f>'[1]Haver Pivoted'!GQ13</f>
        <v>614.4</v>
      </c>
      <c r="G10" s="571">
        <f>'[1]Haver Pivoted'!GR13</f>
        <v>622.4</v>
      </c>
      <c r="H10" s="571">
        <f>'[1]Haver Pivoted'!GS13</f>
        <v>620.6</v>
      </c>
      <c r="I10" s="571">
        <f>'[1]Haver Pivoted'!GT13</f>
        <v>606.5</v>
      </c>
      <c r="J10" s="571">
        <f>'[1]Haver Pivoted'!GU13</f>
        <v>654.6</v>
      </c>
      <c r="K10" s="571">
        <f>'[1]Haver Pivoted'!GV13</f>
        <v>690.8</v>
      </c>
      <c r="L10" s="571">
        <f>'[1]Haver Pivoted'!GW13</f>
        <v>678.6</v>
      </c>
      <c r="M10" s="571">
        <f>'[1]Haver Pivoted'!GX13</f>
        <v>704.9</v>
      </c>
      <c r="N10" s="571">
        <f>'[1]Haver Pivoted'!GY13</f>
        <v>745.6</v>
      </c>
      <c r="O10" s="571">
        <f>'[1]Haver Pivoted'!GZ13</f>
        <v>749.2</v>
      </c>
      <c r="P10" s="571">
        <f>'[1]Haver Pivoted'!HA13</f>
        <v>746.3</v>
      </c>
      <c r="Q10" s="571">
        <f>'[1]Haver Pivoted'!HB13</f>
        <v>791.9</v>
      </c>
      <c r="R10" s="571">
        <f>'[1]Haver Pivoted'!HC13</f>
        <v>819.2</v>
      </c>
      <c r="S10" s="572">
        <f>'[1]Haver Pivoted'!HD13</f>
        <v>819</v>
      </c>
      <c r="T10" s="572">
        <f>'[1]Haver Pivoted'!HE13</f>
        <v>827.5</v>
      </c>
      <c r="U10" s="572">
        <f>'[1]Haver Pivoted'!HF13</f>
        <v>877.6</v>
      </c>
      <c r="V10" s="572">
        <f>'[1]Haver Pivoted'!HG13</f>
        <v>911.6</v>
      </c>
      <c r="W10" s="572">
        <f>'[1]Haver Pivoted'!HH13</f>
        <v>867.2</v>
      </c>
      <c r="X10" s="572">
        <f>'[1]Haver Pivoted'!HI13</f>
        <v>856.2</v>
      </c>
      <c r="Y10" s="572">
        <f>'[1]Haver Pivoted'!HJ13</f>
        <v>904.8</v>
      </c>
      <c r="Z10" s="572">
        <f>'[1]Haver Pivoted'!HK13</f>
        <v>924.7</v>
      </c>
      <c r="AA10" s="572">
        <f>'[1]Haver Pivoted'!HL13</f>
        <v>932.4</v>
      </c>
      <c r="AB10" s="572">
        <f>'[1]Haver Pivoted'!HM13</f>
        <v>944.8</v>
      </c>
      <c r="AC10" s="572">
        <f>'[1]Haver Pivoted'!HN13</f>
        <v>957.6</v>
      </c>
      <c r="AD10" s="326"/>
      <c r="AE10" s="326"/>
      <c r="AF10" s="326"/>
      <c r="AG10" s="326"/>
      <c r="AH10" s="326"/>
      <c r="AI10" s="326"/>
      <c r="AJ10" s="326"/>
      <c r="AK10" s="326"/>
      <c r="AL10" s="326"/>
      <c r="AM10" s="326"/>
      <c r="AN10" s="326"/>
    </row>
    <row r="11" spans="2:41" x14ac:dyDescent="0.35">
      <c r="B11" s="559" t="s">
        <v>429</v>
      </c>
      <c r="C11" s="245" t="s">
        <v>338</v>
      </c>
      <c r="D11" s="588">
        <f>'[1]Haver Pivoted'!GO40</f>
        <v>391.92099999999999</v>
      </c>
      <c r="E11" s="503">
        <f>'[1]Haver Pivoted'!GP40</f>
        <v>405.36799999999999</v>
      </c>
      <c r="F11" s="503">
        <f>'[1]Haver Pivoted'!GQ40</f>
        <v>414.19600000000003</v>
      </c>
      <c r="G11" s="503">
        <f>'[1]Haver Pivoted'!GR40</f>
        <v>418.68599999999998</v>
      </c>
      <c r="H11" s="503">
        <f>'[1]Haver Pivoted'!GS40</f>
        <v>416.185</v>
      </c>
      <c r="I11" s="503">
        <f>'[1]Haver Pivoted'!GT40</f>
        <v>422.89</v>
      </c>
      <c r="J11" s="503">
        <f>'[1]Haver Pivoted'!GU40</f>
        <v>502.90600000000001</v>
      </c>
      <c r="K11" s="503">
        <f>'[1]Haver Pivoted'!GV40</f>
        <v>484.48</v>
      </c>
      <c r="L11" s="503">
        <f>'[1]Haver Pivoted'!GW40</f>
        <v>509.88400000000001</v>
      </c>
      <c r="M11" s="503">
        <f>'[1]Haver Pivoted'!GX40</f>
        <v>499.42899999999997</v>
      </c>
      <c r="N11" s="503">
        <f>'[1]Haver Pivoted'!GY40</f>
        <v>520.79</v>
      </c>
      <c r="O11" s="503">
        <f>'[1]Haver Pivoted'!GZ40</f>
        <v>545.32600000000002</v>
      </c>
      <c r="P11" s="503">
        <f>'[1]Haver Pivoted'!HA40</f>
        <v>567.61</v>
      </c>
      <c r="Q11" s="503">
        <f>'[1]Haver Pivoted'!HB40</f>
        <v>589.92700000000002</v>
      </c>
      <c r="R11" s="503">
        <f>'[1]Haver Pivoted'!HC40</f>
        <v>585.74599999999998</v>
      </c>
      <c r="S11" s="563">
        <f>'[1]Haver Pivoted'!HD40</f>
        <v>617.88900000000001</v>
      </c>
      <c r="T11" s="563">
        <f>'[1]Haver Pivoted'!HE40</f>
        <v>611.67999999999995</v>
      </c>
      <c r="U11" s="563">
        <f>'[1]Haver Pivoted'!HF40</f>
        <v>632.66</v>
      </c>
      <c r="V11" s="563">
        <f>'[1]Haver Pivoted'!HG40</f>
        <v>628.88699999999994</v>
      </c>
      <c r="W11" s="563">
        <f>'[1]Haver Pivoted'!HH40</f>
        <v>585.98400000000004</v>
      </c>
      <c r="X11" s="563">
        <f>'[1]Haver Pivoted'!HI40</f>
        <v>612.03399999999999</v>
      </c>
      <c r="Y11" s="563">
        <f>'[1]Haver Pivoted'!HJ40</f>
        <v>618.72699999999998</v>
      </c>
      <c r="Z11" s="563">
        <f>'[1]Haver Pivoted'!HK40</f>
        <v>628.15700000000004</v>
      </c>
      <c r="AA11" s="563">
        <f>'[1]Haver Pivoted'!HL40</f>
        <v>641.23699999999997</v>
      </c>
      <c r="AB11" s="563">
        <f>'[1]Haver Pivoted'!HM40</f>
        <v>655.17499999999995</v>
      </c>
      <c r="AC11" s="563">
        <f>'[1]Haver Pivoted'!HN40</f>
        <v>647.03</v>
      </c>
      <c r="AD11" s="326"/>
      <c r="AE11" s="326"/>
      <c r="AF11" s="326"/>
      <c r="AG11" s="326"/>
      <c r="AH11" s="326"/>
      <c r="AI11" s="326"/>
      <c r="AJ11" s="326"/>
      <c r="AK11" s="326"/>
      <c r="AL11" s="326"/>
      <c r="AM11" s="326"/>
      <c r="AN11" s="326"/>
    </row>
    <row r="12" spans="2:41" ht="27.65" customHeight="1" x14ac:dyDescent="0.35">
      <c r="B12" s="533" t="s">
        <v>888</v>
      </c>
      <c r="C12" s="35"/>
      <c r="D12" s="590">
        <f t="shared" ref="D12:AC12" si="0">D11/D10</f>
        <v>0.66483630195080579</v>
      </c>
      <c r="E12" s="576">
        <f t="shared" si="0"/>
        <v>0.67708034073826617</v>
      </c>
      <c r="F12" s="576">
        <f t="shared" si="0"/>
        <v>0.67414713541666671</v>
      </c>
      <c r="G12" s="576">
        <f t="shared" si="0"/>
        <v>0.67269601542416446</v>
      </c>
      <c r="H12" s="576">
        <f t="shared" si="0"/>
        <v>0.67061714469867872</v>
      </c>
      <c r="I12" s="576">
        <f t="shared" si="0"/>
        <v>0.69726298433635614</v>
      </c>
      <c r="J12" s="576">
        <f t="shared" si="0"/>
        <v>0.76826458906202255</v>
      </c>
      <c r="K12" s="576">
        <f t="shared" si="0"/>
        <v>0.70133178922987849</v>
      </c>
      <c r="L12" s="576">
        <f t="shared" si="0"/>
        <v>0.75137636310050104</v>
      </c>
      <c r="M12" s="576">
        <f t="shared" si="0"/>
        <v>0.70851042701092348</v>
      </c>
      <c r="N12" s="576">
        <f t="shared" si="0"/>
        <v>0.69848444206008575</v>
      </c>
      <c r="O12" s="576">
        <f t="shared" si="0"/>
        <v>0.72787773625200214</v>
      </c>
      <c r="P12" s="576">
        <f t="shared" si="0"/>
        <v>0.76056545625083749</v>
      </c>
      <c r="Q12" s="576">
        <f t="shared" si="0"/>
        <v>0.74495138275034734</v>
      </c>
      <c r="R12" s="576">
        <f t="shared" si="0"/>
        <v>0.71502197265624989</v>
      </c>
      <c r="S12" s="1245">
        <f>S11/S10</f>
        <v>0.75444322344322345</v>
      </c>
      <c r="T12" s="1245">
        <f t="shared" si="0"/>
        <v>0.73919033232628395</v>
      </c>
      <c r="U12" s="1245">
        <f t="shared" si="0"/>
        <v>0.72089790337283499</v>
      </c>
      <c r="V12" s="1245">
        <f t="shared" si="0"/>
        <v>0.68987165423431318</v>
      </c>
      <c r="W12" s="1245">
        <f t="shared" si="0"/>
        <v>0.67571955719557197</v>
      </c>
      <c r="X12" s="1245">
        <f t="shared" si="0"/>
        <v>0.71482597523943003</v>
      </c>
      <c r="Y12" s="1245">
        <f t="shared" si="0"/>
        <v>0.68382736516357212</v>
      </c>
      <c r="Z12" s="1245">
        <f t="shared" si="0"/>
        <v>0.67930896506975236</v>
      </c>
      <c r="AA12" s="1245">
        <f t="shared" si="0"/>
        <v>0.68772737022737018</v>
      </c>
      <c r="AB12" s="1245">
        <f t="shared" si="0"/>
        <v>0.6934536409822184</v>
      </c>
      <c r="AC12" s="1245">
        <f t="shared" si="0"/>
        <v>0.67567878028404338</v>
      </c>
      <c r="AD12" s="592">
        <f t="shared" ref="AD12:AN12" si="1">AVERAGE(Z12:AC12)</f>
        <v>0.68404218914084614</v>
      </c>
      <c r="AE12" s="592">
        <f t="shared" si="1"/>
        <v>0.68522549515861941</v>
      </c>
      <c r="AF12" s="592">
        <f t="shared" si="1"/>
        <v>0.68460002639143192</v>
      </c>
      <c r="AG12" s="592">
        <f t="shared" si="1"/>
        <v>0.68238662274373518</v>
      </c>
      <c r="AH12" s="592">
        <f t="shared" si="1"/>
        <v>0.68406358335865813</v>
      </c>
      <c r="AI12" s="592">
        <f t="shared" si="1"/>
        <v>0.68406893191311124</v>
      </c>
      <c r="AJ12" s="592">
        <f t="shared" si="1"/>
        <v>0.68377979110173404</v>
      </c>
      <c r="AK12" s="592">
        <f t="shared" si="1"/>
        <v>0.68357473227930954</v>
      </c>
      <c r="AL12" s="592">
        <f t="shared" si="1"/>
        <v>0.68387175966320313</v>
      </c>
      <c r="AM12" s="592">
        <f t="shared" si="1"/>
        <v>0.6838238037393396</v>
      </c>
      <c r="AN12" s="592">
        <f t="shared" si="1"/>
        <v>0.68376252169589646</v>
      </c>
    </row>
    <row r="13" spans="2:41" ht="27.65" customHeight="1" x14ac:dyDescent="0.35">
      <c r="B13" s="1229" t="s">
        <v>2324</v>
      </c>
      <c r="C13" s="35"/>
      <c r="D13" s="590">
        <f>D11/D10</f>
        <v>0.66483630195080579</v>
      </c>
      <c r="E13" s="590">
        <f t="shared" ref="E13:AC13" si="2">E11/E10</f>
        <v>0.67708034073826617</v>
      </c>
      <c r="F13" s="590">
        <f t="shared" si="2"/>
        <v>0.67414713541666671</v>
      </c>
      <c r="G13" s="590">
        <f t="shared" si="2"/>
        <v>0.67269601542416446</v>
      </c>
      <c r="H13" s="590">
        <f t="shared" si="2"/>
        <v>0.67061714469867872</v>
      </c>
      <c r="I13" s="590">
        <f t="shared" si="2"/>
        <v>0.69726298433635614</v>
      </c>
      <c r="J13" s="590">
        <f t="shared" si="2"/>
        <v>0.76826458906202255</v>
      </c>
      <c r="K13" s="590">
        <f t="shared" si="2"/>
        <v>0.70133178922987849</v>
      </c>
      <c r="L13" s="590">
        <f t="shared" si="2"/>
        <v>0.75137636310050104</v>
      </c>
      <c r="M13" s="590">
        <f t="shared" si="2"/>
        <v>0.70851042701092348</v>
      </c>
      <c r="N13" s="590">
        <f t="shared" si="2"/>
        <v>0.69848444206008575</v>
      </c>
      <c r="O13" s="590">
        <f t="shared" si="2"/>
        <v>0.72787773625200214</v>
      </c>
      <c r="P13" s="590">
        <f t="shared" si="2"/>
        <v>0.76056545625083749</v>
      </c>
      <c r="Q13" s="590">
        <f t="shared" si="2"/>
        <v>0.74495138275034734</v>
      </c>
      <c r="R13" s="590">
        <f t="shared" si="2"/>
        <v>0.71502197265624989</v>
      </c>
      <c r="S13" s="590">
        <f t="shared" si="2"/>
        <v>0.75444322344322345</v>
      </c>
      <c r="T13" s="590">
        <f t="shared" si="2"/>
        <v>0.73919033232628395</v>
      </c>
      <c r="U13" s="590">
        <f t="shared" si="2"/>
        <v>0.72089790337283499</v>
      </c>
      <c r="V13" s="590">
        <f t="shared" si="2"/>
        <v>0.68987165423431318</v>
      </c>
      <c r="W13" s="590">
        <f t="shared" si="2"/>
        <v>0.67571955719557197</v>
      </c>
      <c r="X13" s="590">
        <f t="shared" si="2"/>
        <v>0.71482597523943003</v>
      </c>
      <c r="Y13" s="590">
        <f t="shared" si="2"/>
        <v>0.68382736516357212</v>
      </c>
      <c r="Z13" s="590">
        <f t="shared" si="2"/>
        <v>0.67930896506975236</v>
      </c>
      <c r="AA13" s="590">
        <f t="shared" si="2"/>
        <v>0.68772737022737018</v>
      </c>
      <c r="AB13" s="590">
        <f t="shared" si="2"/>
        <v>0.6934536409822184</v>
      </c>
      <c r="AC13" s="590">
        <f t="shared" si="2"/>
        <v>0.67567878028404338</v>
      </c>
      <c r="AD13" s="1230">
        <f t="shared" ref="AD13:AG13" si="3">AVERAGE(Z12:AC12)</f>
        <v>0.68404218914084614</v>
      </c>
      <c r="AE13" s="1230">
        <f t="shared" si="3"/>
        <v>0.68522549515861941</v>
      </c>
      <c r="AF13" s="1230">
        <f t="shared" si="3"/>
        <v>0.68460002639143192</v>
      </c>
      <c r="AG13" s="1230">
        <f t="shared" si="3"/>
        <v>0.68238662274373518</v>
      </c>
      <c r="AH13" s="1231">
        <f>I20</f>
        <v>0.68460002639143192</v>
      </c>
      <c r="AI13" s="1230">
        <f>I20</f>
        <v>0.68460002639143192</v>
      </c>
      <c r="AJ13" s="1230">
        <f>I20</f>
        <v>0.68460002639143192</v>
      </c>
      <c r="AK13" s="1230">
        <f>I20</f>
        <v>0.68460002639143192</v>
      </c>
      <c r="AL13" s="1231">
        <f>J20</f>
        <v>0.68458296002222596</v>
      </c>
      <c r="AM13" s="1230">
        <f>J20</f>
        <v>0.68458296002222596</v>
      </c>
      <c r="AN13" s="1230">
        <f>J20</f>
        <v>0.68458296002222596</v>
      </c>
    </row>
    <row r="14" spans="2:41" x14ac:dyDescent="0.35">
      <c r="O14" s="56"/>
      <c r="P14" s="245"/>
      <c r="Q14" s="56"/>
      <c r="R14" s="56"/>
      <c r="S14" s="56"/>
      <c r="T14" s="503"/>
      <c r="Y14" s="229"/>
      <c r="Z14" s="229"/>
      <c r="AA14" s="229"/>
      <c r="AB14" s="229"/>
      <c r="AC14" s="229"/>
      <c r="AD14" s="229"/>
      <c r="AE14" s="229"/>
      <c r="AF14" s="229"/>
      <c r="AG14" s="229"/>
      <c r="AH14" s="229"/>
      <c r="AI14" s="56"/>
    </row>
    <row r="15" spans="2:41" x14ac:dyDescent="0.35">
      <c r="B15" s="523" t="s">
        <v>351</v>
      </c>
      <c r="O15" s="56"/>
      <c r="P15" s="245"/>
      <c r="Q15" s="56"/>
      <c r="R15" s="56"/>
      <c r="S15" s="56"/>
      <c r="T15" s="503"/>
      <c r="Y15" s="229"/>
      <c r="Z15" s="229"/>
      <c r="AA15" s="229"/>
      <c r="AB15" s="229"/>
      <c r="AC15" s="229"/>
      <c r="AD15" s="229"/>
      <c r="AE15" s="229"/>
      <c r="AF15" s="229"/>
      <c r="AG15" s="229"/>
      <c r="AH15" s="229"/>
      <c r="AI15" s="56"/>
    </row>
    <row r="16" spans="2:41" x14ac:dyDescent="0.35">
      <c r="B16" s="1228" t="s">
        <v>430</v>
      </c>
      <c r="C16" s="568">
        <v>2020</v>
      </c>
      <c r="D16" s="568">
        <v>2021</v>
      </c>
      <c r="E16" s="568">
        <v>2022</v>
      </c>
      <c r="F16" s="568">
        <v>2023</v>
      </c>
      <c r="G16" s="568">
        <v>2024</v>
      </c>
      <c r="H16" s="568">
        <v>2025</v>
      </c>
      <c r="I16" s="568">
        <v>2026</v>
      </c>
      <c r="J16" s="568">
        <v>2027</v>
      </c>
      <c r="K16" s="569">
        <v>2028</v>
      </c>
      <c r="L16" s="568">
        <v>2029</v>
      </c>
      <c r="M16" s="568">
        <v>2030</v>
      </c>
      <c r="N16" s="568">
        <v>2031</v>
      </c>
      <c r="O16" s="569">
        <v>2032</v>
      </c>
      <c r="P16" s="568">
        <v>2033</v>
      </c>
      <c r="Q16" s="568">
        <v>2034</v>
      </c>
      <c r="R16" s="568">
        <v>2035</v>
      </c>
      <c r="S16" s="56"/>
      <c r="T16" s="564"/>
      <c r="U16" s="564"/>
      <c r="V16" s="564"/>
      <c r="W16" s="564"/>
      <c r="X16" s="564"/>
      <c r="Y16" s="564"/>
      <c r="Z16" s="564"/>
      <c r="AA16" s="564"/>
      <c r="AB16" s="564"/>
      <c r="AC16" s="564"/>
      <c r="AD16" s="564"/>
      <c r="AE16" s="564"/>
      <c r="AF16" s="564"/>
      <c r="AG16" s="564"/>
      <c r="AH16" s="564"/>
      <c r="AI16" s="56"/>
    </row>
    <row r="17" spans="2:41" ht="25.4" customHeight="1" x14ac:dyDescent="0.35">
      <c r="B17" s="1226" t="s">
        <v>2323</v>
      </c>
      <c r="C17" s="255">
        <v>458.46800000000002</v>
      </c>
      <c r="D17" s="266">
        <v>520.58799999999997</v>
      </c>
      <c r="E17" s="266">
        <v>591.94899999999996</v>
      </c>
      <c r="F17" s="266">
        <v>615.77200000000005</v>
      </c>
      <c r="G17" s="266">
        <v>617.51700000000005</v>
      </c>
      <c r="H17" s="266">
        <f>H18+H19</f>
        <v>655.87</v>
      </c>
      <c r="I17" s="266">
        <f t="shared" ref="I17:Q17" si="4">I18+I19</f>
        <v>695.20899999999995</v>
      </c>
      <c r="J17" s="266">
        <f>J18+J19</f>
        <v>737.62</v>
      </c>
      <c r="K17" s="266">
        <f t="shared" si="4"/>
        <v>766.58699999999999</v>
      </c>
      <c r="L17" s="266">
        <f t="shared" si="4"/>
        <v>803.17</v>
      </c>
      <c r="M17" s="266">
        <f t="shared" si="4"/>
        <v>836.60199999999998</v>
      </c>
      <c r="N17" s="266">
        <f t="shared" si="4"/>
        <v>870.99400000000003</v>
      </c>
      <c r="O17" s="266">
        <f t="shared" si="4"/>
        <v>910.18399999999997</v>
      </c>
      <c r="P17" s="266">
        <f t="shared" si="4"/>
        <v>947.56500000000005</v>
      </c>
      <c r="Q17" s="266">
        <f t="shared" si="4"/>
        <v>985.65899999999999</v>
      </c>
      <c r="R17" s="266">
        <v>1025.287</v>
      </c>
      <c r="S17" s="56"/>
      <c r="T17" s="56"/>
      <c r="U17" s="56"/>
      <c r="V17" s="56"/>
      <c r="W17" s="56"/>
      <c r="X17" s="56"/>
      <c r="Y17" s="56"/>
      <c r="Z17" s="56"/>
      <c r="AA17" s="56"/>
      <c r="AB17" s="56"/>
      <c r="AC17" s="56"/>
      <c r="AD17" s="56"/>
      <c r="AE17" s="56"/>
      <c r="AF17" s="56"/>
      <c r="AH17" s="56"/>
      <c r="AI17" s="56"/>
    </row>
    <row r="18" spans="2:41" ht="31.5" customHeight="1" x14ac:dyDescent="0.35">
      <c r="B18" s="1227" t="s">
        <v>1964</v>
      </c>
      <c r="C18" s="255">
        <v>458.46800000000002</v>
      </c>
      <c r="D18" s="266">
        <v>520.58799999999997</v>
      </c>
      <c r="E18" s="266">
        <v>591.94899999999996</v>
      </c>
      <c r="F18" s="266">
        <v>615.77200000000005</v>
      </c>
      <c r="G18" s="266">
        <v>617.51700000000005</v>
      </c>
      <c r="H18" s="266">
        <v>655.87</v>
      </c>
      <c r="I18" s="266">
        <v>695.20899999999995</v>
      </c>
      <c r="J18" s="266">
        <v>737.62</v>
      </c>
      <c r="K18" s="556">
        <v>766.58699999999999</v>
      </c>
      <c r="L18" s="266">
        <v>803.17</v>
      </c>
      <c r="M18" s="266">
        <v>836.60199999999998</v>
      </c>
      <c r="N18" s="266">
        <v>870.99400000000003</v>
      </c>
      <c r="O18" s="266">
        <v>910.18399999999997</v>
      </c>
      <c r="P18" s="266">
        <v>947.56500000000005</v>
      </c>
      <c r="Q18" s="266">
        <v>985.65899999999999</v>
      </c>
      <c r="R18" s="266">
        <v>1025.287</v>
      </c>
      <c r="S18" s="56"/>
      <c r="T18" s="56"/>
      <c r="U18" s="56"/>
      <c r="V18" s="56"/>
      <c r="W18" s="56"/>
      <c r="X18" s="56"/>
      <c r="Y18" s="56"/>
      <c r="Z18" s="56"/>
      <c r="AA18" s="56"/>
      <c r="AB18" s="56"/>
      <c r="AC18" s="56"/>
      <c r="AD18" s="56"/>
      <c r="AE18" s="56"/>
      <c r="AF18" s="56"/>
      <c r="AH18" s="56"/>
      <c r="AI18" s="56"/>
    </row>
    <row r="19" spans="2:41" ht="26.5" x14ac:dyDescent="0.35">
      <c r="B19" s="1226" t="s">
        <v>2321</v>
      </c>
      <c r="C19" s="255"/>
      <c r="D19" s="266"/>
      <c r="E19" s="266"/>
      <c r="F19" s="266"/>
      <c r="G19" s="266"/>
      <c r="H19" s="805">
        <v>0</v>
      </c>
      <c r="I19" s="805">
        <v>0</v>
      </c>
      <c r="J19" s="805">
        <v>0</v>
      </c>
      <c r="K19" s="805">
        <v>0</v>
      </c>
      <c r="L19" s="805">
        <v>0</v>
      </c>
      <c r="M19" s="805">
        <v>0</v>
      </c>
      <c r="N19" s="805">
        <v>0</v>
      </c>
      <c r="O19" s="805">
        <v>0</v>
      </c>
      <c r="P19" s="805">
        <v>0</v>
      </c>
      <c r="Q19" s="805">
        <v>0</v>
      </c>
      <c r="R19" s="266"/>
      <c r="S19" s="56"/>
      <c r="T19" s="56"/>
      <c r="U19" s="56"/>
      <c r="V19" s="56"/>
      <c r="W19" s="56"/>
      <c r="X19" s="56"/>
      <c r="Y19" s="56"/>
      <c r="Z19" s="56"/>
      <c r="AA19" s="56"/>
      <c r="AB19" s="56"/>
      <c r="AC19" s="56"/>
      <c r="AD19" s="56"/>
      <c r="AE19" s="56"/>
      <c r="AF19" s="56"/>
      <c r="AH19" s="56"/>
      <c r="AI19" s="56"/>
    </row>
    <row r="20" spans="2:41" x14ac:dyDescent="0.35">
      <c r="B20" s="1216" t="s">
        <v>431</v>
      </c>
      <c r="C20" s="564">
        <f>AVERAGE(H12:K12)</f>
        <v>0.70936912683173392</v>
      </c>
      <c r="D20" s="564">
        <f>AVERAGE(L12:O12)</f>
        <v>0.72156224210587805</v>
      </c>
      <c r="E20" s="564">
        <f>AVERAGE(P12:S12)</f>
        <v>0.74374550877516454</v>
      </c>
      <c r="F20" s="564">
        <f>AVERAGE(T12:W12)</f>
        <v>0.70641986178225102</v>
      </c>
      <c r="G20" s="564">
        <f>AVERAGE(X12:AA12)</f>
        <v>0.6914224189250312</v>
      </c>
      <c r="H20" s="564">
        <f>AVERAGE(Y12:AB12)</f>
        <v>0.68607933536072829</v>
      </c>
      <c r="I20" s="564">
        <f>AVERAGE(AB12:AE12)</f>
        <v>0.68460002639143192</v>
      </c>
      <c r="J20" s="564">
        <f>AVERAGE(AA12:AI12)</f>
        <v>0.68458296002222596</v>
      </c>
    </row>
    <row r="21" spans="2:41" ht="28.5" customHeight="1" x14ac:dyDescent="0.35">
      <c r="B21" s="1225" t="s">
        <v>2322</v>
      </c>
      <c r="C21" s="564"/>
      <c r="D21" s="564"/>
      <c r="E21" s="564"/>
      <c r="F21" s="564"/>
      <c r="G21" s="564"/>
      <c r="I21" s="564">
        <v>0</v>
      </c>
      <c r="J21" s="600">
        <v>0</v>
      </c>
    </row>
    <row r="22" spans="2:41" x14ac:dyDescent="0.35">
      <c r="B22" s="559" t="s">
        <v>432</v>
      </c>
      <c r="C22" s="229">
        <f t="shared" ref="C22:H22" si="5">C17/C20</f>
        <v>646.30385318242224</v>
      </c>
      <c r="D22" s="229">
        <f t="shared" si="5"/>
        <v>721.47344972024155</v>
      </c>
      <c r="E22" s="229">
        <f t="shared" si="5"/>
        <v>795.90262128083259</v>
      </c>
      <c r="F22" s="229">
        <f t="shared" si="5"/>
        <v>871.67990781919355</v>
      </c>
      <c r="G22" s="229">
        <f t="shared" si="5"/>
        <v>893.11104629795852</v>
      </c>
      <c r="H22" s="229">
        <f t="shared" si="5"/>
        <v>955.96816023493147</v>
      </c>
      <c r="I22" s="229">
        <f t="shared" ref="I22:K22" si="6">I17/I20</f>
        <v>1015.4966012263958</v>
      </c>
      <c r="J22" s="229">
        <f t="shared" si="6"/>
        <v>1077.4735029572635</v>
      </c>
      <c r="K22" s="229" t="e">
        <f t="shared" si="6"/>
        <v>#DIV/0!</v>
      </c>
    </row>
    <row r="23" spans="2:41" ht="32.25" customHeight="1" x14ac:dyDescent="0.35">
      <c r="B23" s="533" t="s">
        <v>433</v>
      </c>
      <c r="C23" s="554"/>
      <c r="D23" s="576">
        <f>D22/C22-1</f>
        <v>0.11630689832295071</v>
      </c>
      <c r="E23" s="576">
        <f t="shared" ref="E23" si="7">E22/D22-1</f>
        <v>0.10316273119884278</v>
      </c>
      <c r="F23" s="576">
        <f t="shared" ref="F23" si="8">F22/E22-1</f>
        <v>9.5209243583610492E-2</v>
      </c>
      <c r="G23" s="576">
        <f>G22/F22-1</f>
        <v>2.4586018659512598E-2</v>
      </c>
      <c r="H23" s="576">
        <f>H22/G22-1</f>
        <v>7.037995353155968E-2</v>
      </c>
      <c r="I23" s="576">
        <f>I22/H22-1</f>
        <v>6.2270317639904427E-2</v>
      </c>
      <c r="J23" s="576">
        <f>J22/I22-1</f>
        <v>6.1031126698030569E-2</v>
      </c>
      <c r="K23" s="576" t="e">
        <f t="shared" ref="K23" si="9">K22/J22-1</f>
        <v>#DIV/0!</v>
      </c>
      <c r="L23" s="578"/>
      <c r="R23" s="56"/>
      <c r="S23" s="526"/>
      <c r="T23" s="526"/>
      <c r="U23" s="526"/>
    </row>
    <row r="24" spans="2:41" ht="32.25" customHeight="1" x14ac:dyDescent="0.35">
      <c r="B24" s="280"/>
      <c r="C24" s="229"/>
      <c r="D24" s="564"/>
      <c r="E24" s="564"/>
      <c r="F24" s="564"/>
      <c r="G24" s="564"/>
      <c r="H24" s="564"/>
      <c r="I24" s="564"/>
      <c r="J24" s="564"/>
      <c r="K24" s="578"/>
      <c r="L24" s="578"/>
      <c r="R24" s="56"/>
      <c r="S24" s="526"/>
      <c r="T24" s="526"/>
      <c r="U24" s="526"/>
    </row>
    <row r="26" spans="2:41" x14ac:dyDescent="0.35">
      <c r="B26" s="523" t="s">
        <v>364</v>
      </c>
    </row>
    <row r="27" spans="2:41" x14ac:dyDescent="0.35">
      <c r="B27" s="1256" t="s">
        <v>434</v>
      </c>
      <c r="C27" s="1257"/>
      <c r="D27" s="1276" t="s">
        <v>279</v>
      </c>
      <c r="E27" s="1277"/>
      <c r="F27" s="1277"/>
      <c r="G27" s="1277"/>
      <c r="H27" s="1277"/>
      <c r="I27" s="1277"/>
      <c r="J27" s="1277"/>
      <c r="K27" s="1277"/>
      <c r="L27" s="1277"/>
      <c r="M27" s="1277"/>
      <c r="N27" s="1277"/>
      <c r="O27" s="1277"/>
      <c r="P27" s="1277"/>
      <c r="Q27" s="1277"/>
      <c r="R27" s="1277"/>
      <c r="S27" s="1277"/>
      <c r="T27" s="1277"/>
      <c r="U27" s="1277"/>
      <c r="V27" s="1277"/>
      <c r="W27" s="1277"/>
      <c r="X27" s="1277"/>
      <c r="Y27" s="1277"/>
      <c r="Z27" s="1277"/>
      <c r="AA27" s="1277"/>
      <c r="AB27" s="1278"/>
      <c r="AC27" s="1261" t="s">
        <v>280</v>
      </c>
      <c r="AD27" s="1262"/>
      <c r="AE27" s="1262"/>
      <c r="AF27" s="1262"/>
      <c r="AG27" s="1262"/>
      <c r="AH27" s="1262"/>
      <c r="AI27" s="1262"/>
      <c r="AJ27" s="1262"/>
      <c r="AK27" s="1262"/>
      <c r="AL27" s="1262"/>
      <c r="AM27" s="1262"/>
      <c r="AN27" s="1263"/>
    </row>
    <row r="28" spans="2:41" x14ac:dyDescent="0.35">
      <c r="B28" s="1258"/>
      <c r="C28" s="1390"/>
      <c r="D28" s="293">
        <v>2018</v>
      </c>
      <c r="E28" s="1264">
        <v>2019</v>
      </c>
      <c r="F28" s="1265"/>
      <c r="G28" s="1265"/>
      <c r="H28" s="1266"/>
      <c r="I28" s="1264">
        <v>2020</v>
      </c>
      <c r="J28" s="1265"/>
      <c r="K28" s="1265"/>
      <c r="L28" s="1266"/>
      <c r="M28" s="1264">
        <v>2021</v>
      </c>
      <c r="N28" s="1265"/>
      <c r="O28" s="1265"/>
      <c r="P28" s="1266"/>
      <c r="Q28" s="1264">
        <v>2022</v>
      </c>
      <c r="R28" s="1265"/>
      <c r="S28" s="1265"/>
      <c r="T28" s="1266"/>
      <c r="U28" s="453"/>
      <c r="V28" s="439">
        <v>2023</v>
      </c>
      <c r="W28" s="439"/>
      <c r="X28" s="306"/>
      <c r="Y28" s="453"/>
      <c r="Z28" s="439">
        <v>2024</v>
      </c>
      <c r="AA28" s="439"/>
      <c r="AB28" s="306"/>
      <c r="AC28" s="1270">
        <v>2025</v>
      </c>
      <c r="AD28" s="1271"/>
      <c r="AE28" s="1271"/>
      <c r="AF28" s="1272"/>
      <c r="AG28" s="1270">
        <v>2026</v>
      </c>
      <c r="AH28" s="1271"/>
      <c r="AI28" s="1271"/>
      <c r="AJ28" s="1272"/>
      <c r="AK28" s="1270">
        <v>2027</v>
      </c>
      <c r="AL28" s="1271"/>
      <c r="AM28" s="1271"/>
      <c r="AN28" s="1272"/>
    </row>
    <row r="29" spans="2:41" x14ac:dyDescent="0.35">
      <c r="B29" s="1274"/>
      <c r="C29" s="1351"/>
      <c r="D29" s="221" t="s">
        <v>281</v>
      </c>
      <c r="E29" s="221" t="s">
        <v>282</v>
      </c>
      <c r="F29" s="222" t="s">
        <v>283</v>
      </c>
      <c r="G29" s="222" t="s">
        <v>238</v>
      </c>
      <c r="H29" s="228" t="s">
        <v>281</v>
      </c>
      <c r="I29" s="222" t="s">
        <v>282</v>
      </c>
      <c r="J29" s="222" t="s">
        <v>283</v>
      </c>
      <c r="K29" s="222" t="s">
        <v>238</v>
      </c>
      <c r="L29" s="222" t="s">
        <v>281</v>
      </c>
      <c r="M29" s="221" t="s">
        <v>282</v>
      </c>
      <c r="N29" s="222" t="s">
        <v>283</v>
      </c>
      <c r="O29" s="222" t="s">
        <v>238</v>
      </c>
      <c r="P29" s="222" t="s">
        <v>281</v>
      </c>
      <c r="Q29" s="221" t="s">
        <v>282</v>
      </c>
      <c r="R29" s="222" t="s">
        <v>283</v>
      </c>
      <c r="S29" s="222" t="s">
        <v>238</v>
      </c>
      <c r="T29" s="228" t="s">
        <v>281</v>
      </c>
      <c r="U29" s="282" t="s">
        <v>282</v>
      </c>
      <c r="V29" s="288" t="s">
        <v>283</v>
      </c>
      <c r="W29" s="283" t="s">
        <v>238</v>
      </c>
      <c r="X29" s="283" t="s">
        <v>281</v>
      </c>
      <c r="Y29" s="282" t="s">
        <v>282</v>
      </c>
      <c r="Z29" s="288" t="s">
        <v>283</v>
      </c>
      <c r="AA29" s="283" t="s">
        <v>238</v>
      </c>
      <c r="AB29" s="283" t="s">
        <v>281</v>
      </c>
      <c r="AC29" s="282" t="s">
        <v>282</v>
      </c>
      <c r="AD29" s="267" t="s">
        <v>283</v>
      </c>
      <c r="AE29" s="269" t="s">
        <v>238</v>
      </c>
      <c r="AF29" s="269" t="s">
        <v>281</v>
      </c>
      <c r="AG29" s="232" t="s">
        <v>282</v>
      </c>
      <c r="AH29" s="267" t="s">
        <v>283</v>
      </c>
      <c r="AI29" s="267" t="s">
        <v>238</v>
      </c>
      <c r="AJ29" s="286" t="s">
        <v>281</v>
      </c>
      <c r="AK29" s="232" t="s">
        <v>282</v>
      </c>
      <c r="AL29" s="267" t="s">
        <v>283</v>
      </c>
      <c r="AM29" s="267" t="s">
        <v>238</v>
      </c>
      <c r="AN29" s="286" t="s">
        <v>281</v>
      </c>
    </row>
    <row r="30" spans="2:41" ht="19.5" customHeight="1" x14ac:dyDescent="0.35">
      <c r="B30" s="1247" t="s">
        <v>435</v>
      </c>
      <c r="C30" s="586"/>
      <c r="D30" s="573">
        <f t="shared" ref="D30:AC30" si="10">D10</f>
        <v>589.5</v>
      </c>
      <c r="E30" s="574">
        <f t="shared" si="10"/>
        <v>598.70000000000005</v>
      </c>
      <c r="F30" s="574">
        <f t="shared" si="10"/>
        <v>614.4</v>
      </c>
      <c r="G30" s="574">
        <f t="shared" si="10"/>
        <v>622.4</v>
      </c>
      <c r="H30" s="574">
        <f t="shared" si="10"/>
        <v>620.6</v>
      </c>
      <c r="I30" s="574">
        <f t="shared" si="10"/>
        <v>606.5</v>
      </c>
      <c r="J30" s="574">
        <f t="shared" si="10"/>
        <v>654.6</v>
      </c>
      <c r="K30" s="574">
        <f t="shared" si="10"/>
        <v>690.8</v>
      </c>
      <c r="L30" s="574">
        <f t="shared" si="10"/>
        <v>678.6</v>
      </c>
      <c r="M30" s="574">
        <f t="shared" si="10"/>
        <v>704.9</v>
      </c>
      <c r="N30" s="574">
        <f t="shared" si="10"/>
        <v>745.6</v>
      </c>
      <c r="O30" s="574">
        <f t="shared" si="10"/>
        <v>749.2</v>
      </c>
      <c r="P30" s="574">
        <f t="shared" si="10"/>
        <v>746.3</v>
      </c>
      <c r="Q30" s="574">
        <f t="shared" si="10"/>
        <v>791.9</v>
      </c>
      <c r="R30" s="574">
        <f t="shared" si="10"/>
        <v>819.2</v>
      </c>
      <c r="S30" s="575">
        <f t="shared" si="10"/>
        <v>819</v>
      </c>
      <c r="T30" s="566">
        <f t="shared" si="10"/>
        <v>827.5</v>
      </c>
      <c r="U30" s="575">
        <f t="shared" si="10"/>
        <v>877.6</v>
      </c>
      <c r="V30" s="575">
        <f t="shared" si="10"/>
        <v>911.6</v>
      </c>
      <c r="W30" s="575">
        <f t="shared" si="10"/>
        <v>867.2</v>
      </c>
      <c r="X30" s="575">
        <f t="shared" si="10"/>
        <v>856.2</v>
      </c>
      <c r="Y30" s="575">
        <f t="shared" si="10"/>
        <v>904.8</v>
      </c>
      <c r="Z30" s="575">
        <f t="shared" si="10"/>
        <v>924.7</v>
      </c>
      <c r="AA30" s="575">
        <f t="shared" si="10"/>
        <v>932.4</v>
      </c>
      <c r="AB30" s="575">
        <f t="shared" si="10"/>
        <v>944.8</v>
      </c>
      <c r="AC30" s="575">
        <f t="shared" si="10"/>
        <v>957.6</v>
      </c>
      <c r="AD30" s="585">
        <f>AC30*(1+$H$23)^0.25+AD31</f>
        <v>969.02169234293717</v>
      </c>
      <c r="AE30" s="585">
        <f>AD30*(1+$H$23)^0.25+AE31</f>
        <v>985.63925302097391</v>
      </c>
      <c r="AF30" s="1242">
        <f>AE30*(1+$I$23)^0.25+AF31</f>
        <v>1000.5924493152195</v>
      </c>
      <c r="AG30" s="562">
        <f>AF30*(1+$I$23)^0.25+AG31</f>
        <v>1015.8181842069388</v>
      </c>
      <c r="AH30" s="562">
        <f>AG30*(1+$I$23)^0.25+AH31</f>
        <v>1031.2756048395925</v>
      </c>
      <c r="AI30" s="562">
        <f>AH30*(1+$I$23)^0.25+AI31</f>
        <v>1046.9682367101718</v>
      </c>
      <c r="AJ30" s="1242">
        <f>AI30*(1+$J$23)^0.25+AJ31</f>
        <v>1044.1395419917014</v>
      </c>
      <c r="AK30" s="562">
        <f>AJ30*(1+$J$23)^0.25+AK31</f>
        <v>1059.7186416912505</v>
      </c>
      <c r="AL30" s="562">
        <f>AK30*(1+$J$23)^0.25+AL31</f>
        <v>1075.5301895815705</v>
      </c>
      <c r="AM30" s="562">
        <f>AL30*(1+$J$23)^0.25+AM31</f>
        <v>1091.577653909379</v>
      </c>
      <c r="AN30" s="1242" t="e">
        <f>AM30*(1+$K$23)^0.25+AN31</f>
        <v>#DIV/0!</v>
      </c>
      <c r="AO30" s="1243" t="s">
        <v>1827</v>
      </c>
    </row>
    <row r="31" spans="2:41" ht="19.5" customHeight="1" x14ac:dyDescent="0.35">
      <c r="B31" s="1250" t="s">
        <v>1697</v>
      </c>
      <c r="C31" s="263"/>
      <c r="D31" s="587"/>
      <c r="E31" s="560"/>
      <c r="F31" s="560"/>
      <c r="G31" s="560"/>
      <c r="H31" s="560"/>
      <c r="I31" s="560"/>
      <c r="J31" s="560"/>
      <c r="K31" s="560"/>
      <c r="L31" s="560"/>
      <c r="M31" s="560"/>
      <c r="N31" s="560"/>
      <c r="O31" s="560"/>
      <c r="P31" s="560"/>
      <c r="Q31" s="560"/>
      <c r="R31" s="560"/>
      <c r="S31" s="560"/>
      <c r="T31" s="560"/>
      <c r="U31" s="560"/>
      <c r="V31" s="560"/>
      <c r="W31" s="560"/>
      <c r="X31" s="560"/>
      <c r="Y31" s="562"/>
      <c r="Z31" s="562"/>
      <c r="AA31" s="562"/>
      <c r="AB31" s="562"/>
      <c r="AC31" s="562">
        <v>26</v>
      </c>
      <c r="AD31" s="562">
        <v>-5</v>
      </c>
      <c r="AE31" s="562"/>
      <c r="AF31" s="562">
        <v>-4.4999999999999998E-2</v>
      </c>
      <c r="AG31" s="562"/>
      <c r="AH31" s="562"/>
      <c r="AI31" s="562"/>
      <c r="AJ31" s="562">
        <v>-18.45</v>
      </c>
      <c r="AK31" s="562"/>
      <c r="AL31" s="562"/>
      <c r="AM31" s="562"/>
      <c r="AN31" s="562"/>
    </row>
    <row r="32" spans="2:41" ht="19.399999999999999" customHeight="1" x14ac:dyDescent="0.35">
      <c r="B32" s="577" t="s">
        <v>207</v>
      </c>
      <c r="C32" s="263"/>
      <c r="D32" s="587">
        <f t="shared" ref="D32:Q32" si="11">D10*D12</f>
        <v>391.92099999999999</v>
      </c>
      <c r="E32" s="560">
        <f t="shared" si="11"/>
        <v>405.36799999999999</v>
      </c>
      <c r="F32" s="560">
        <f t="shared" si="11"/>
        <v>414.19600000000003</v>
      </c>
      <c r="G32" s="560">
        <f t="shared" si="11"/>
        <v>418.68599999999992</v>
      </c>
      <c r="H32" s="560">
        <f t="shared" si="11"/>
        <v>416.18500000000006</v>
      </c>
      <c r="I32" s="560">
        <f t="shared" si="11"/>
        <v>422.89</v>
      </c>
      <c r="J32" s="560">
        <f t="shared" si="11"/>
        <v>502.90600000000001</v>
      </c>
      <c r="K32" s="560">
        <f t="shared" si="11"/>
        <v>484.48</v>
      </c>
      <c r="L32" s="560">
        <f t="shared" si="11"/>
        <v>509.88400000000001</v>
      </c>
      <c r="M32" s="560">
        <f t="shared" si="11"/>
        <v>499.42899999999997</v>
      </c>
      <c r="N32" s="560">
        <f t="shared" si="11"/>
        <v>520.79</v>
      </c>
      <c r="O32" s="560">
        <f t="shared" si="11"/>
        <v>545.32600000000002</v>
      </c>
      <c r="P32" s="560">
        <f t="shared" si="11"/>
        <v>567.61</v>
      </c>
      <c r="Q32" s="560">
        <f t="shared" si="11"/>
        <v>589.92700000000002</v>
      </c>
      <c r="R32" s="560">
        <f t="shared" ref="R32:AG32" si="12">R30*R12</f>
        <v>585.74599999999998</v>
      </c>
      <c r="S32" s="560">
        <f t="shared" si="12"/>
        <v>617.88900000000001</v>
      </c>
      <c r="T32" s="560">
        <f t="shared" si="12"/>
        <v>611.67999999999995</v>
      </c>
      <c r="U32" s="560">
        <f t="shared" si="12"/>
        <v>632.66</v>
      </c>
      <c r="V32" s="560">
        <f t="shared" si="12"/>
        <v>628.88699999999994</v>
      </c>
      <c r="W32" s="560">
        <f t="shared" si="12"/>
        <v>585.98400000000004</v>
      </c>
      <c r="X32" s="560">
        <f t="shared" si="12"/>
        <v>612.03399999999999</v>
      </c>
      <c r="Y32" s="562">
        <f t="shared" si="12"/>
        <v>618.72699999999998</v>
      </c>
      <c r="Z32" s="562">
        <f t="shared" si="12"/>
        <v>628.15700000000004</v>
      </c>
      <c r="AA32" s="562">
        <f t="shared" si="12"/>
        <v>641.23699999999997</v>
      </c>
      <c r="AB32" s="562">
        <f t="shared" si="12"/>
        <v>655.17499999999995</v>
      </c>
      <c r="AC32" s="562">
        <f t="shared" si="12"/>
        <v>647.03</v>
      </c>
      <c r="AD32" s="562">
        <f t="shared" si="12"/>
        <v>662.85171975523019</v>
      </c>
      <c r="AE32" s="562">
        <f t="shared" si="12"/>
        <v>675.38514519906857</v>
      </c>
      <c r="AF32" s="562">
        <f t="shared" si="12"/>
        <v>685.00561720826681</v>
      </c>
      <c r="AG32" s="562">
        <f t="shared" si="12"/>
        <v>693.18074004264645</v>
      </c>
      <c r="AH32" s="562">
        <f t="shared" ref="AH32:AN32" si="13">AH30*AH13</f>
        <v>706.01130629002489</v>
      </c>
      <c r="AI32" s="562">
        <f t="shared" si="13"/>
        <v>716.75448248277462</v>
      </c>
      <c r="AJ32" s="562">
        <f t="shared" si="13"/>
        <v>714.81795800385646</v>
      </c>
      <c r="AK32" s="562">
        <f t="shared" si="13"/>
        <v>725.48341006932242</v>
      </c>
      <c r="AL32" s="562">
        <f t="shared" si="13"/>
        <v>736.28964077701744</v>
      </c>
      <c r="AM32" s="562">
        <f t="shared" si="13"/>
        <v>747.27546140739958</v>
      </c>
      <c r="AN32" s="562" t="e">
        <f t="shared" si="13"/>
        <v>#DIV/0!</v>
      </c>
    </row>
    <row r="33" spans="2:40" ht="19.399999999999999" customHeight="1" x14ac:dyDescent="0.35">
      <c r="B33" s="558" t="s">
        <v>436</v>
      </c>
      <c r="C33" s="367"/>
      <c r="D33" s="589">
        <f t="shared" ref="D33:AN33" si="14">D30-D32</f>
        <v>197.57900000000001</v>
      </c>
      <c r="E33" s="561">
        <f t="shared" si="14"/>
        <v>193.33200000000005</v>
      </c>
      <c r="F33" s="561">
        <f t="shared" si="14"/>
        <v>200.20399999999995</v>
      </c>
      <c r="G33" s="561">
        <f t="shared" si="14"/>
        <v>203.71400000000006</v>
      </c>
      <c r="H33" s="561">
        <f t="shared" si="14"/>
        <v>204.41499999999996</v>
      </c>
      <c r="I33" s="561">
        <f t="shared" si="14"/>
        <v>183.61</v>
      </c>
      <c r="J33" s="561">
        <f t="shared" si="14"/>
        <v>151.69400000000002</v>
      </c>
      <c r="K33" s="561">
        <f t="shared" si="14"/>
        <v>206.31999999999994</v>
      </c>
      <c r="L33" s="561">
        <f t="shared" si="14"/>
        <v>168.71600000000001</v>
      </c>
      <c r="M33" s="561">
        <f t="shared" si="14"/>
        <v>205.471</v>
      </c>
      <c r="N33" s="561">
        <f t="shared" si="14"/>
        <v>224.81000000000006</v>
      </c>
      <c r="O33" s="561">
        <f t="shared" si="14"/>
        <v>203.87400000000002</v>
      </c>
      <c r="P33" s="561">
        <f t="shared" si="14"/>
        <v>178.68999999999994</v>
      </c>
      <c r="Q33" s="561">
        <f t="shared" si="14"/>
        <v>201.97299999999996</v>
      </c>
      <c r="R33" s="561">
        <f t="shared" si="14"/>
        <v>233.45400000000006</v>
      </c>
      <c r="S33" s="561">
        <f t="shared" si="14"/>
        <v>201.11099999999999</v>
      </c>
      <c r="T33" s="561">
        <f t="shared" si="14"/>
        <v>215.82000000000005</v>
      </c>
      <c r="U33" s="561">
        <f t="shared" si="14"/>
        <v>244.94000000000005</v>
      </c>
      <c r="V33" s="561">
        <f t="shared" si="14"/>
        <v>282.71300000000008</v>
      </c>
      <c r="W33" s="561">
        <f t="shared" si="14"/>
        <v>281.21600000000001</v>
      </c>
      <c r="X33" s="561">
        <f t="shared" si="14"/>
        <v>244.16600000000005</v>
      </c>
      <c r="Y33" s="584">
        <f t="shared" si="14"/>
        <v>286.07299999999998</v>
      </c>
      <c r="Z33" s="584">
        <f t="shared" si="14"/>
        <v>296.54300000000001</v>
      </c>
      <c r="AA33" s="584">
        <f t="shared" si="14"/>
        <v>291.16300000000001</v>
      </c>
      <c r="AB33" s="584">
        <f t="shared" si="14"/>
        <v>289.625</v>
      </c>
      <c r="AC33" s="584">
        <f t="shared" si="14"/>
        <v>310.57000000000005</v>
      </c>
      <c r="AD33" s="584">
        <f t="shared" si="14"/>
        <v>306.16997258770698</v>
      </c>
      <c r="AE33" s="584">
        <f t="shared" si="14"/>
        <v>310.25410782190534</v>
      </c>
      <c r="AF33" s="584">
        <f t="shared" si="14"/>
        <v>315.58683210695267</v>
      </c>
      <c r="AG33" s="584">
        <f t="shared" si="14"/>
        <v>322.63744416429233</v>
      </c>
      <c r="AH33" s="584">
        <f t="shared" si="14"/>
        <v>325.26429854956757</v>
      </c>
      <c r="AI33" s="584">
        <f t="shared" si="14"/>
        <v>330.2137542273972</v>
      </c>
      <c r="AJ33" s="584">
        <f t="shared" si="14"/>
        <v>329.32158398784497</v>
      </c>
      <c r="AK33" s="584">
        <f t="shared" si="14"/>
        <v>334.23523162192805</v>
      </c>
      <c r="AL33" s="584">
        <f t="shared" si="14"/>
        <v>339.2405488045531</v>
      </c>
      <c r="AM33" s="584">
        <f t="shared" si="14"/>
        <v>344.30219250197945</v>
      </c>
      <c r="AN33" s="584" t="e">
        <f t="shared" si="14"/>
        <v>#DIV/0!</v>
      </c>
    </row>
    <row r="34" spans="2:40" ht="19.399999999999999" customHeight="1" x14ac:dyDescent="0.35">
      <c r="B34" s="245"/>
      <c r="C34" s="245"/>
      <c r="D34" s="503"/>
      <c r="E34" s="503"/>
      <c r="F34" s="503"/>
      <c r="G34" s="503"/>
      <c r="H34" s="503"/>
      <c r="I34" s="503"/>
      <c r="J34" s="503"/>
      <c r="K34" s="503"/>
      <c r="L34" s="503"/>
      <c r="M34" s="503"/>
      <c r="N34" s="503"/>
      <c r="O34" s="503"/>
      <c r="P34" s="503"/>
      <c r="Q34" s="503"/>
      <c r="R34" s="503"/>
      <c r="S34" s="503"/>
      <c r="T34" s="503"/>
      <c r="U34" s="503"/>
      <c r="V34" s="503"/>
      <c r="W34" s="503"/>
      <c r="X34" s="503"/>
    </row>
    <row r="35" spans="2:40" ht="19.399999999999999" customHeight="1" x14ac:dyDescent="0.35">
      <c r="B35" s="245"/>
      <c r="C35" s="245"/>
      <c r="D35" s="503"/>
      <c r="E35" s="503"/>
      <c r="F35" s="503"/>
      <c r="G35" s="503"/>
      <c r="H35" s="503"/>
      <c r="I35" s="503"/>
    </row>
    <row r="36" spans="2:40" ht="19.399999999999999" customHeight="1" x14ac:dyDescent="0.35">
      <c r="B36" s="245"/>
      <c r="C36" s="245"/>
      <c r="D36" s="503"/>
      <c r="E36" s="503"/>
      <c r="F36" s="503"/>
      <c r="G36" s="503"/>
      <c r="H36" s="503"/>
      <c r="I36" s="503"/>
    </row>
    <row r="37" spans="2:40" ht="19.399999999999999" customHeight="1" x14ac:dyDescent="0.35">
      <c r="B37" s="245"/>
      <c r="C37" s="245"/>
      <c r="D37" s="503"/>
      <c r="E37" s="503"/>
      <c r="F37" s="503"/>
      <c r="G37" s="503"/>
      <c r="H37" s="503"/>
      <c r="I37" s="503"/>
      <c r="J37" s="503"/>
      <c r="K37" s="503"/>
      <c r="L37" s="503"/>
      <c r="M37" s="503"/>
      <c r="N37" s="503"/>
      <c r="O37" s="503"/>
      <c r="P37" s="503"/>
      <c r="Q37" s="503"/>
      <c r="R37" s="503"/>
      <c r="S37" s="503"/>
      <c r="T37" s="503"/>
      <c r="Y37" s="503"/>
      <c r="Z37" s="503"/>
      <c r="AA37" s="503"/>
      <c r="AB37" s="503"/>
      <c r="AC37" s="503"/>
      <c r="AD37" s="503"/>
      <c r="AE37" s="503"/>
      <c r="AF37" s="503"/>
      <c r="AG37" s="503"/>
      <c r="AH37" s="503"/>
    </row>
    <row r="38" spans="2:40" ht="19.399999999999999" customHeight="1" x14ac:dyDescent="0.35">
      <c r="B38" s="245"/>
      <c r="C38" s="245"/>
      <c r="D38" s="503"/>
      <c r="E38" s="503"/>
      <c r="F38" s="503"/>
      <c r="G38" s="503"/>
      <c r="H38" s="503"/>
      <c r="I38" s="503"/>
      <c r="J38" s="503"/>
      <c r="K38" s="503"/>
      <c r="L38" s="503"/>
      <c r="M38" s="503"/>
      <c r="N38" s="503"/>
      <c r="O38" s="503"/>
      <c r="P38" s="503"/>
      <c r="Q38" s="503"/>
      <c r="R38" s="503"/>
      <c r="S38" s="503"/>
      <c r="T38" s="503"/>
      <c r="Y38" s="503"/>
      <c r="Z38" s="503"/>
      <c r="AA38" s="503"/>
      <c r="AB38" s="503"/>
      <c r="AC38" s="503"/>
      <c r="AD38" s="503"/>
      <c r="AE38" s="503"/>
      <c r="AF38" s="503"/>
      <c r="AG38" s="503"/>
      <c r="AH38" s="503"/>
    </row>
    <row r="39" spans="2:40" ht="19" customHeight="1" x14ac:dyDescent="0.35">
      <c r="B39" s="245"/>
      <c r="C39" s="245"/>
      <c r="D39" s="503"/>
      <c r="E39" s="503"/>
      <c r="F39" s="503"/>
      <c r="G39" s="503"/>
      <c r="H39" s="503"/>
      <c r="I39" s="503"/>
      <c r="J39" s="503"/>
      <c r="K39" s="503"/>
      <c r="L39" s="503"/>
      <c r="M39" s="503"/>
      <c r="N39" s="503"/>
      <c r="O39" s="503"/>
      <c r="AG39" s="503"/>
      <c r="AH39" s="503"/>
    </row>
    <row r="40" spans="2:40" ht="19" customHeight="1" x14ac:dyDescent="0.35">
      <c r="B40" s="245"/>
      <c r="C40" s="245"/>
      <c r="D40" s="503"/>
      <c r="E40" s="503"/>
      <c r="F40" s="503"/>
      <c r="G40" s="503"/>
      <c r="H40" s="503"/>
      <c r="I40" s="503"/>
      <c r="J40" s="503"/>
      <c r="K40" s="503"/>
      <c r="L40" s="503"/>
      <c r="M40" s="503"/>
      <c r="N40" s="503"/>
      <c r="O40" s="503"/>
      <c r="AG40" s="503"/>
      <c r="AH40" s="503"/>
    </row>
    <row r="41" spans="2:40" ht="19.399999999999999" customHeight="1" x14ac:dyDescent="0.35">
      <c r="B41" s="245"/>
      <c r="C41" s="245"/>
      <c r="D41" s="503"/>
      <c r="E41" s="503"/>
      <c r="F41" s="503"/>
      <c r="G41" s="503"/>
      <c r="H41" s="503"/>
      <c r="I41" s="503"/>
      <c r="J41" s="503"/>
      <c r="K41" s="503"/>
      <c r="L41" s="503"/>
      <c r="M41" s="503"/>
      <c r="N41" s="503"/>
      <c r="O41" s="503"/>
      <c r="P41" s="503"/>
      <c r="Q41" s="503"/>
      <c r="R41" s="503"/>
      <c r="S41" s="503"/>
      <c r="T41" s="503"/>
      <c r="Y41" s="503"/>
      <c r="Z41" s="503"/>
      <c r="AA41" s="503"/>
      <c r="AB41" s="503"/>
      <c r="AC41" s="503"/>
      <c r="AD41" s="503"/>
      <c r="AE41" s="503"/>
      <c r="AF41" s="503"/>
      <c r="AG41" s="503"/>
      <c r="AH41" s="503"/>
    </row>
    <row r="42" spans="2:40" ht="14.9" customHeight="1" x14ac:dyDescent="0.35">
      <c r="B42" s="579" t="s">
        <v>437</v>
      </c>
      <c r="C42" s="580"/>
      <c r="D42" s="580"/>
      <c r="E42" s="581"/>
      <c r="F42" s="582">
        <v>2021</v>
      </c>
      <c r="G42" s="582">
        <v>2022</v>
      </c>
      <c r="H42" s="582">
        <v>2023</v>
      </c>
      <c r="I42" s="582">
        <v>2024</v>
      </c>
      <c r="J42" s="582">
        <v>2025</v>
      </c>
      <c r="K42" s="582">
        <v>2025</v>
      </c>
      <c r="L42" s="582">
        <v>2027</v>
      </c>
      <c r="M42" s="582">
        <v>2028</v>
      </c>
      <c r="N42" s="582">
        <v>2029</v>
      </c>
      <c r="O42" s="582">
        <v>2030</v>
      </c>
      <c r="P42" s="583">
        <v>2031</v>
      </c>
    </row>
    <row r="43" spans="2:40" ht="15" customHeight="1" x14ac:dyDescent="0.35">
      <c r="B43" s="1279" t="s">
        <v>438</v>
      </c>
      <c r="C43" s="1280"/>
      <c r="D43" s="1280"/>
      <c r="E43" s="1281"/>
      <c r="F43" s="229">
        <v>287</v>
      </c>
      <c r="G43" s="229">
        <v>534</v>
      </c>
      <c r="H43" s="229">
        <v>247</v>
      </c>
      <c r="I43" s="229">
        <v>63</v>
      </c>
      <c r="J43" s="229"/>
      <c r="K43" s="229"/>
      <c r="L43" s="229"/>
      <c r="M43" s="229"/>
      <c r="N43" s="229"/>
      <c r="O43" s="229"/>
      <c r="P43" s="557"/>
    </row>
    <row r="44" spans="2:40" ht="15" customHeight="1" x14ac:dyDescent="0.35">
      <c r="B44" s="1267" t="s">
        <v>439</v>
      </c>
      <c r="C44" s="1268"/>
      <c r="D44" s="1268"/>
      <c r="E44" s="1269"/>
      <c r="F44" s="229">
        <v>0</v>
      </c>
      <c r="G44" s="229">
        <v>0</v>
      </c>
      <c r="H44" s="229">
        <v>756</v>
      </c>
      <c r="I44" s="229">
        <v>1249</v>
      </c>
      <c r="J44" s="229">
        <v>1417</v>
      </c>
      <c r="K44" s="229">
        <v>1522</v>
      </c>
      <c r="L44" s="229">
        <v>1107</v>
      </c>
      <c r="M44" s="229"/>
      <c r="N44" s="229"/>
      <c r="O44" s="229"/>
      <c r="P44" s="557"/>
    </row>
    <row r="45" spans="2:40" ht="14.5" customHeight="1" x14ac:dyDescent="0.35">
      <c r="B45" s="1267" t="s">
        <v>440</v>
      </c>
      <c r="C45" s="1268"/>
      <c r="D45" s="1268"/>
      <c r="E45" s="1269"/>
      <c r="F45" s="229">
        <v>0</v>
      </c>
      <c r="G45" s="229">
        <v>5</v>
      </c>
      <c r="H45" s="229">
        <v>77</v>
      </c>
      <c r="I45" s="229">
        <v>307</v>
      </c>
      <c r="J45" s="229">
        <v>332</v>
      </c>
      <c r="K45" s="229">
        <v>270</v>
      </c>
      <c r="L45" s="229">
        <v>25</v>
      </c>
      <c r="M45" s="229">
        <v>32</v>
      </c>
      <c r="N45" s="229">
        <v>40</v>
      </c>
      <c r="O45" s="229">
        <v>49</v>
      </c>
      <c r="P45" s="557">
        <v>58</v>
      </c>
    </row>
    <row r="46" spans="2:40" ht="32.9" customHeight="1" x14ac:dyDescent="0.35">
      <c r="B46" s="1291" t="s">
        <v>441</v>
      </c>
      <c r="C46" s="1292"/>
      <c r="D46" s="1292"/>
      <c r="E46" s="1293"/>
      <c r="F46" s="229">
        <v>0</v>
      </c>
      <c r="G46" s="229">
        <v>0</v>
      </c>
      <c r="H46" s="229">
        <v>3768</v>
      </c>
      <c r="I46" s="229">
        <v>3428</v>
      </c>
      <c r="J46" s="229">
        <v>2176</v>
      </c>
      <c r="K46" s="229">
        <v>2304</v>
      </c>
      <c r="L46" s="229">
        <v>2129</v>
      </c>
      <c r="M46" s="229">
        <v>1335</v>
      </c>
      <c r="N46" s="229">
        <v>478</v>
      </c>
      <c r="O46" s="229">
        <v>531</v>
      </c>
      <c r="P46" s="557">
        <v>212</v>
      </c>
    </row>
    <row r="47" spans="2:40" ht="32.9" customHeight="1" x14ac:dyDescent="0.35">
      <c r="B47" s="1291" t="s">
        <v>442</v>
      </c>
      <c r="C47" s="1292"/>
      <c r="D47" s="1292"/>
      <c r="E47" s="1293"/>
      <c r="F47" s="229">
        <v>38</v>
      </c>
      <c r="G47" s="229">
        <v>81</v>
      </c>
      <c r="H47" s="229">
        <v>43</v>
      </c>
      <c r="I47" s="229"/>
      <c r="J47" s="229"/>
      <c r="K47" s="229"/>
      <c r="L47" s="229"/>
      <c r="M47" s="229"/>
      <c r="N47" s="229"/>
      <c r="O47" s="229"/>
      <c r="P47" s="557"/>
    </row>
    <row r="48" spans="2:40" ht="14.5" customHeight="1" x14ac:dyDescent="0.35">
      <c r="B48" s="1267" t="s">
        <v>443</v>
      </c>
      <c r="C48" s="1268"/>
      <c r="D48" s="1268"/>
      <c r="E48" s="1269"/>
      <c r="F48" s="229"/>
      <c r="G48" s="229"/>
      <c r="H48" s="229"/>
      <c r="I48" s="229">
        <v>-184</v>
      </c>
      <c r="J48" s="229">
        <v>-1830</v>
      </c>
      <c r="K48" s="229">
        <v>-2406</v>
      </c>
      <c r="L48" s="229">
        <v>-2419</v>
      </c>
      <c r="M48" s="229">
        <v>-2467</v>
      </c>
      <c r="N48" s="229">
        <v>-2531</v>
      </c>
      <c r="O48" s="229">
        <v>-2667</v>
      </c>
      <c r="P48" s="557">
        <v>-2809</v>
      </c>
    </row>
    <row r="49" spans="2:17" ht="15.75" customHeight="1" x14ac:dyDescent="0.35">
      <c r="B49" s="1285" t="s">
        <v>444</v>
      </c>
      <c r="C49" s="1286"/>
      <c r="D49" s="1286"/>
      <c r="E49" s="1287"/>
      <c r="F49" s="229">
        <v>6524</v>
      </c>
      <c r="G49" s="229">
        <v>6143</v>
      </c>
      <c r="H49" s="229"/>
      <c r="I49" s="229"/>
      <c r="J49" s="229"/>
      <c r="K49" s="229"/>
      <c r="L49" s="229"/>
      <c r="M49" s="229"/>
      <c r="N49" s="229"/>
      <c r="O49" s="229"/>
      <c r="P49" s="557"/>
    </row>
    <row r="50" spans="2:17" ht="14.5" customHeight="1" x14ac:dyDescent="0.35">
      <c r="B50" s="1267" t="s">
        <v>445</v>
      </c>
      <c r="C50" s="1268"/>
      <c r="D50" s="1268"/>
      <c r="E50" s="1269"/>
      <c r="F50" s="229">
        <v>50</v>
      </c>
      <c r="G50" s="229">
        <v>175</v>
      </c>
      <c r="H50" s="229">
        <v>25</v>
      </c>
      <c r="I50" s="229"/>
      <c r="J50" s="229"/>
      <c r="K50" s="229"/>
      <c r="L50" s="229"/>
      <c r="M50" s="229"/>
      <c r="N50" s="229"/>
      <c r="O50" s="229"/>
      <c r="P50" s="557"/>
    </row>
    <row r="51" spans="2:17" ht="14.5" customHeight="1" x14ac:dyDescent="0.35">
      <c r="B51" s="1267" t="s">
        <v>446</v>
      </c>
      <c r="C51" s="1268"/>
      <c r="D51" s="1268"/>
      <c r="E51" s="1269"/>
      <c r="F51" s="229">
        <v>829</v>
      </c>
      <c r="G51" s="229">
        <v>844</v>
      </c>
      <c r="H51" s="229"/>
      <c r="I51" s="229"/>
      <c r="J51" s="229"/>
      <c r="K51" s="229"/>
      <c r="L51" s="229"/>
      <c r="M51" s="229"/>
      <c r="N51" s="229"/>
      <c r="O51" s="229"/>
      <c r="P51" s="557"/>
    </row>
    <row r="52" spans="2:17" x14ac:dyDescent="0.35">
      <c r="B52" s="1282" t="s">
        <v>447</v>
      </c>
      <c r="C52" s="1283"/>
      <c r="D52" s="1283"/>
      <c r="E52" s="1284"/>
      <c r="F52" s="229">
        <f t="shared" ref="F52:P52" si="15">SUM(F43:F51)</f>
        <v>7728</v>
      </c>
      <c r="G52" s="229">
        <f t="shared" si="15"/>
        <v>7782</v>
      </c>
      <c r="H52" s="229">
        <f t="shared" si="15"/>
        <v>4916</v>
      </c>
      <c r="I52" s="229">
        <f t="shared" si="15"/>
        <v>4863</v>
      </c>
      <c r="J52" s="229">
        <f t="shared" si="15"/>
        <v>2095</v>
      </c>
      <c r="K52" s="229">
        <f t="shared" si="15"/>
        <v>1690</v>
      </c>
      <c r="L52" s="229">
        <f t="shared" si="15"/>
        <v>842</v>
      </c>
      <c r="M52" s="229">
        <f t="shared" si="15"/>
        <v>-1100</v>
      </c>
      <c r="N52" s="229">
        <f t="shared" si="15"/>
        <v>-2013</v>
      </c>
      <c r="O52" s="229">
        <f t="shared" si="15"/>
        <v>-2087</v>
      </c>
      <c r="P52" s="557">
        <f t="shared" si="15"/>
        <v>-2539</v>
      </c>
    </row>
    <row r="53" spans="2:17" x14ac:dyDescent="0.35">
      <c r="B53" s="1285" t="s">
        <v>448</v>
      </c>
      <c r="C53" s="1286"/>
      <c r="D53" s="1286"/>
      <c r="E53" s="1287"/>
      <c r="F53" s="229">
        <f t="shared" ref="F53:P53" si="16">F49+F47+F46</f>
        <v>6562</v>
      </c>
      <c r="G53" s="229">
        <f t="shared" si="16"/>
        <v>6224</v>
      </c>
      <c r="H53" s="229">
        <f t="shared" si="16"/>
        <v>3811</v>
      </c>
      <c r="I53" s="229">
        <f t="shared" si="16"/>
        <v>3428</v>
      </c>
      <c r="J53" s="229">
        <f t="shared" si="16"/>
        <v>2176</v>
      </c>
      <c r="K53" s="229">
        <f t="shared" si="16"/>
        <v>2304</v>
      </c>
      <c r="L53" s="229">
        <f t="shared" si="16"/>
        <v>2129</v>
      </c>
      <c r="M53" s="229">
        <f t="shared" si="16"/>
        <v>1335</v>
      </c>
      <c r="N53" s="229">
        <f t="shared" si="16"/>
        <v>478</v>
      </c>
      <c r="O53" s="229">
        <f t="shared" si="16"/>
        <v>531</v>
      </c>
      <c r="P53" s="557">
        <f t="shared" si="16"/>
        <v>212</v>
      </c>
      <c r="Q53" s="245" t="s">
        <v>449</v>
      </c>
    </row>
    <row r="54" spans="2:17" x14ac:dyDescent="0.35">
      <c r="B54" s="1267" t="s">
        <v>450</v>
      </c>
      <c r="C54" s="1268"/>
      <c r="D54" s="1268"/>
      <c r="E54" s="1269"/>
      <c r="F54" s="229">
        <f>(F53/1000)/M30</f>
        <v>9.3091218612569165E-3</v>
      </c>
      <c r="G54" s="229">
        <f>(G53/F53)*F54</f>
        <v>8.8296212228684921E-3</v>
      </c>
      <c r="H54" s="229">
        <f>(H53/G53)*G54+H55</f>
        <v>5.4064406298765782E-3</v>
      </c>
      <c r="I54" s="229">
        <f>(I53/H53)*H54+I55</f>
        <v>4.8631011490991626E-3</v>
      </c>
      <c r="J54" s="229">
        <f>J55</f>
        <v>0</v>
      </c>
      <c r="K54" s="229">
        <f t="shared" ref="K54:L54" si="17">K55</f>
        <v>0</v>
      </c>
      <c r="L54" s="229">
        <f t="shared" si="17"/>
        <v>0</v>
      </c>
      <c r="M54" s="229"/>
      <c r="N54" s="229"/>
      <c r="O54" s="229"/>
      <c r="P54" s="557"/>
      <c r="Q54" s="245" t="s">
        <v>451</v>
      </c>
    </row>
    <row r="55" spans="2:17" ht="29.25" customHeight="1" x14ac:dyDescent="0.35">
      <c r="B55" s="551" t="s">
        <v>889</v>
      </c>
      <c r="C55" s="552"/>
      <c r="D55" s="552"/>
      <c r="E55" s="553"/>
      <c r="F55" s="229"/>
      <c r="G55" s="229"/>
      <c r="H55" s="229"/>
      <c r="I55" s="229"/>
      <c r="J55" s="229"/>
      <c r="K55" s="229"/>
      <c r="L55" s="229"/>
      <c r="M55" s="229"/>
      <c r="N55" s="229"/>
      <c r="O55" s="229"/>
      <c r="P55" s="557"/>
      <c r="Q55" s="245"/>
    </row>
    <row r="56" spans="2:17" x14ac:dyDescent="0.35">
      <c r="B56" s="1288"/>
      <c r="C56" s="1289"/>
      <c r="D56" s="1289"/>
      <c r="E56" s="1290"/>
      <c r="F56" s="554"/>
      <c r="G56" s="554"/>
      <c r="H56" s="554"/>
      <c r="I56" s="554"/>
      <c r="J56" s="554"/>
      <c r="K56" s="554"/>
      <c r="L56" s="554"/>
      <c r="M56" s="554"/>
      <c r="N56" s="554"/>
      <c r="O56" s="554"/>
      <c r="P56" s="570"/>
    </row>
  </sheetData>
  <mergeCells count="37">
    <mergeCell ref="B6:C6"/>
    <mergeCell ref="B49:E49"/>
    <mergeCell ref="B50:E50"/>
    <mergeCell ref="B51:E51"/>
    <mergeCell ref="B52:E52"/>
    <mergeCell ref="B53:E53"/>
    <mergeCell ref="B54:E54"/>
    <mergeCell ref="B47:E47"/>
    <mergeCell ref="B1:AC1"/>
    <mergeCell ref="V2:AB4"/>
    <mergeCell ref="B2:U4"/>
    <mergeCell ref="M8:P8"/>
    <mergeCell ref="Q8:T8"/>
    <mergeCell ref="AC8:AF8"/>
    <mergeCell ref="E8:H8"/>
    <mergeCell ref="B7:C9"/>
    <mergeCell ref="I8:L8"/>
    <mergeCell ref="AC7:AN7"/>
    <mergeCell ref="D7:AB7"/>
    <mergeCell ref="AK8:AN8"/>
    <mergeCell ref="B48:E48"/>
    <mergeCell ref="B56:E56"/>
    <mergeCell ref="B46:E46"/>
    <mergeCell ref="B44:E44"/>
    <mergeCell ref="B45:E45"/>
    <mergeCell ref="AG8:AJ8"/>
    <mergeCell ref="AG28:AJ28"/>
    <mergeCell ref="B43:E43"/>
    <mergeCell ref="I28:L28"/>
    <mergeCell ref="B27:C29"/>
    <mergeCell ref="E28:H28"/>
    <mergeCell ref="AC27:AN27"/>
    <mergeCell ref="D27:AB27"/>
    <mergeCell ref="M28:P28"/>
    <mergeCell ref="Q28:T28"/>
    <mergeCell ref="AC28:AF28"/>
    <mergeCell ref="AK28:AN28"/>
  </mergeCells>
  <pageMargins left="0.7" right="0.7" top="0.75" bottom="0.75" header="0.3" footer="0.3"/>
  <pageSetup paperSize="9" orientation="portrait" horizontalDpi="300" verticalDpi="300"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F5" activePane="bottomRight" state="frozen"/>
      <selection pane="topRight" activeCell="C1" sqref="C1"/>
      <selection pane="bottomLeft" activeCell="A5" sqref="A5"/>
      <selection pane="bottomRight" activeCell="AD13" sqref="AD13"/>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253" t="s">
        <v>55</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2:40" ht="14.25" customHeight="1" x14ac:dyDescent="0.35">
      <c r="B2" s="1254" t="s">
        <v>857</v>
      </c>
      <c r="C2" s="1254"/>
      <c r="D2" s="1254"/>
      <c r="E2" s="1254"/>
      <c r="F2" s="1254"/>
      <c r="G2" s="1254"/>
      <c r="H2" s="1254"/>
      <c r="I2" s="1254"/>
      <c r="J2" s="1254"/>
      <c r="K2" s="1254"/>
      <c r="L2" s="1254"/>
      <c r="M2" s="1254"/>
      <c r="N2" s="1254"/>
      <c r="O2" s="1254"/>
      <c r="P2" s="1254"/>
      <c r="Q2" s="1254"/>
      <c r="R2" s="1254"/>
      <c r="S2" s="591"/>
      <c r="T2" s="1392" t="s">
        <v>905</v>
      </c>
      <c r="U2" s="1392"/>
      <c r="V2" s="1392"/>
      <c r="W2" s="1392"/>
      <c r="X2" s="1392"/>
      <c r="Y2" s="1392"/>
      <c r="Z2" s="1392"/>
      <c r="AA2" s="1392"/>
      <c r="AB2" s="1392"/>
      <c r="AC2" s="1392"/>
    </row>
    <row r="3" spans="2:40" x14ac:dyDescent="0.35">
      <c r="B3" s="1254"/>
      <c r="C3" s="1254"/>
      <c r="D3" s="1254"/>
      <c r="E3" s="1254"/>
      <c r="F3" s="1254"/>
      <c r="G3" s="1254"/>
      <c r="H3" s="1254"/>
      <c r="I3" s="1254"/>
      <c r="J3" s="1254"/>
      <c r="K3" s="1254"/>
      <c r="L3" s="1254"/>
      <c r="M3" s="1254"/>
      <c r="N3" s="1254"/>
      <c r="O3" s="1254"/>
      <c r="P3" s="1254"/>
      <c r="Q3" s="1254"/>
      <c r="R3" s="1254"/>
      <c r="S3" s="591"/>
      <c r="T3" s="1392"/>
      <c r="U3" s="1392"/>
      <c r="V3" s="1392"/>
      <c r="W3" s="1392"/>
      <c r="X3" s="1392"/>
      <c r="Y3" s="1392"/>
      <c r="Z3" s="1392"/>
      <c r="AA3" s="1392"/>
      <c r="AB3" s="1392"/>
      <c r="AC3" s="1392"/>
    </row>
    <row r="4" spans="2:40" ht="21" customHeight="1" x14ac:dyDescent="0.35">
      <c r="B4" s="1254"/>
      <c r="C4" s="1254"/>
      <c r="D4" s="1254"/>
      <c r="E4" s="1254"/>
      <c r="F4" s="1254"/>
      <c r="G4" s="1254"/>
      <c r="H4" s="1254"/>
      <c r="I4" s="1254"/>
      <c r="J4" s="1254"/>
      <c r="K4" s="1254"/>
      <c r="L4" s="1254"/>
      <c r="M4" s="1254"/>
      <c r="N4" s="1254"/>
      <c r="O4" s="1254"/>
      <c r="P4" s="1254"/>
      <c r="Q4" s="1254"/>
      <c r="R4" s="1254"/>
      <c r="S4" s="591"/>
      <c r="T4" s="1392"/>
      <c r="U4" s="1392"/>
      <c r="V4" s="1392"/>
      <c r="W4" s="1392"/>
      <c r="X4" s="1392"/>
      <c r="Y4" s="1392"/>
      <c r="Z4" s="1392"/>
      <c r="AA4" s="1392"/>
      <c r="AB4" s="1392"/>
      <c r="AC4" s="1392"/>
    </row>
    <row r="6" spans="2:40" x14ac:dyDescent="0.35">
      <c r="B6" s="523" t="s">
        <v>332</v>
      </c>
    </row>
    <row r="7" spans="2:40" ht="14.9" customHeight="1" x14ac:dyDescent="0.35">
      <c r="B7" s="1256" t="s">
        <v>402</v>
      </c>
      <c r="C7" s="1257"/>
      <c r="D7" s="1260" t="s">
        <v>279</v>
      </c>
      <c r="E7" s="1260"/>
      <c r="F7" s="1260"/>
      <c r="G7" s="1260"/>
      <c r="H7" s="1260"/>
      <c r="I7" s="1260"/>
      <c r="J7" s="1260"/>
      <c r="K7" s="1260"/>
      <c r="L7" s="1260"/>
      <c r="M7" s="1260"/>
      <c r="N7" s="1260"/>
      <c r="O7" s="1260"/>
      <c r="P7" s="1260"/>
      <c r="Q7" s="1260"/>
      <c r="R7" s="1260"/>
      <c r="S7" s="1260"/>
      <c r="T7" s="1260"/>
      <c r="U7" s="1260"/>
      <c r="V7" s="1260"/>
      <c r="W7" s="1260"/>
      <c r="X7" s="1260"/>
      <c r="Y7" s="1260"/>
      <c r="Z7" s="1260"/>
      <c r="AA7" s="1260"/>
      <c r="AB7" s="595"/>
      <c r="AC7" s="1261" t="s">
        <v>280</v>
      </c>
      <c r="AD7" s="1262"/>
      <c r="AE7" s="1262"/>
      <c r="AF7" s="1262"/>
      <c r="AG7" s="1262"/>
      <c r="AH7" s="1262"/>
      <c r="AI7" s="1262"/>
      <c r="AJ7" s="1262"/>
      <c r="AK7" s="1262"/>
      <c r="AL7" s="1262"/>
      <c r="AM7" s="1262"/>
      <c r="AN7" s="1263"/>
    </row>
    <row r="8" spans="2:40" x14ac:dyDescent="0.35">
      <c r="B8" s="1258"/>
      <c r="C8" s="1350"/>
      <c r="D8" s="293">
        <v>2018</v>
      </c>
      <c r="E8" s="1264">
        <v>2019</v>
      </c>
      <c r="F8" s="1359"/>
      <c r="G8" s="1359"/>
      <c r="H8" s="1266"/>
      <c r="I8" s="1264">
        <v>2020</v>
      </c>
      <c r="J8" s="1359"/>
      <c r="K8" s="1359"/>
      <c r="L8" s="1359"/>
      <c r="M8" s="1264">
        <v>2021</v>
      </c>
      <c r="N8" s="1359"/>
      <c r="O8" s="1359"/>
      <c r="P8" s="1265"/>
      <c r="Q8" s="1264">
        <v>2022</v>
      </c>
      <c r="R8" s="1265"/>
      <c r="S8" s="1265"/>
      <c r="T8" s="1265"/>
      <c r="U8" s="1264">
        <v>2023</v>
      </c>
      <c r="V8" s="1265"/>
      <c r="W8" s="1265"/>
      <c r="X8" s="1266"/>
      <c r="Y8" s="299"/>
      <c r="Z8" s="439">
        <v>2024</v>
      </c>
      <c r="AA8" s="439"/>
      <c r="AB8" s="306"/>
      <c r="AC8" s="1270">
        <v>2025</v>
      </c>
      <c r="AD8" s="1352"/>
      <c r="AE8" s="1352"/>
      <c r="AF8" s="1272"/>
      <c r="AG8" s="1270">
        <v>2026</v>
      </c>
      <c r="AH8" s="1352"/>
      <c r="AI8" s="1352"/>
      <c r="AJ8" s="1272"/>
      <c r="AK8" s="1270">
        <v>2027</v>
      </c>
      <c r="AL8" s="1352"/>
      <c r="AM8" s="1352"/>
      <c r="AN8" s="1272"/>
    </row>
    <row r="9" spans="2:40" x14ac:dyDescent="0.35">
      <c r="B9" s="1274"/>
      <c r="C9" s="1351"/>
      <c r="D9" s="221" t="s">
        <v>281</v>
      </c>
      <c r="E9" s="221" t="s">
        <v>282</v>
      </c>
      <c r="F9" s="222" t="s">
        <v>283</v>
      </c>
      <c r="G9" s="222" t="s">
        <v>238</v>
      </c>
      <c r="H9" s="228" t="s">
        <v>281</v>
      </c>
      <c r="I9" s="222" t="s">
        <v>282</v>
      </c>
      <c r="J9" s="222" t="s">
        <v>283</v>
      </c>
      <c r="K9" s="222" t="s">
        <v>238</v>
      </c>
      <c r="L9" s="222" t="s">
        <v>281</v>
      </c>
      <c r="M9" s="221" t="s">
        <v>282</v>
      </c>
      <c r="N9" s="222" t="s">
        <v>283</v>
      </c>
      <c r="O9" s="222" t="s">
        <v>238</v>
      </c>
      <c r="P9" s="222" t="s">
        <v>281</v>
      </c>
      <c r="Q9" s="221" t="s">
        <v>282</v>
      </c>
      <c r="R9" s="222" t="s">
        <v>283</v>
      </c>
      <c r="S9" s="222" t="s">
        <v>238</v>
      </c>
      <c r="T9" s="222" t="s">
        <v>281</v>
      </c>
      <c r="U9" s="282" t="s">
        <v>282</v>
      </c>
      <c r="V9" s="283" t="s">
        <v>283</v>
      </c>
      <c r="W9" s="283" t="s">
        <v>238</v>
      </c>
      <c r="X9" s="281" t="s">
        <v>281</v>
      </c>
      <c r="Y9" s="283" t="s">
        <v>282</v>
      </c>
      <c r="Z9" s="288" t="s">
        <v>283</v>
      </c>
      <c r="AA9" s="283" t="s">
        <v>238</v>
      </c>
      <c r="AB9" s="283" t="s">
        <v>281</v>
      </c>
      <c r="AC9" s="282" t="s">
        <v>282</v>
      </c>
      <c r="AD9" s="267" t="s">
        <v>283</v>
      </c>
      <c r="AE9" s="269" t="s">
        <v>238</v>
      </c>
      <c r="AF9" s="269" t="s">
        <v>281</v>
      </c>
      <c r="AG9" s="296" t="s">
        <v>282</v>
      </c>
      <c r="AH9" s="267" t="s">
        <v>283</v>
      </c>
      <c r="AI9" s="269" t="s">
        <v>238</v>
      </c>
      <c r="AJ9" s="298" t="s">
        <v>281</v>
      </c>
      <c r="AK9" s="296" t="s">
        <v>282</v>
      </c>
      <c r="AL9" s="267" t="s">
        <v>283</v>
      </c>
      <c r="AM9" s="269" t="s">
        <v>238</v>
      </c>
      <c r="AN9" s="298" t="s">
        <v>281</v>
      </c>
    </row>
    <row r="10" spans="2:40" ht="14.9" customHeight="1" x14ac:dyDescent="0.35">
      <c r="B10" s="599" t="s">
        <v>452</v>
      </c>
      <c r="C10" s="56" t="s">
        <v>901</v>
      </c>
      <c r="D10" s="573">
        <f>'Haver Pivoted'!GO12</f>
        <v>755</v>
      </c>
      <c r="E10" s="574">
        <f>'Haver Pivoted'!GP12</f>
        <v>773.5</v>
      </c>
      <c r="F10" s="574">
        <f>'Haver Pivoted'!GQ12</f>
        <v>788.5</v>
      </c>
      <c r="G10" s="574">
        <f>'Haver Pivoted'!GR12</f>
        <v>798</v>
      </c>
      <c r="H10" s="574">
        <f>'Haver Pivoted'!GS12</f>
        <v>802</v>
      </c>
      <c r="I10" s="574">
        <f>'Haver Pivoted'!GT12</f>
        <v>801.9</v>
      </c>
      <c r="J10" s="574">
        <f>'Haver Pivoted'!GU12</f>
        <v>814.3</v>
      </c>
      <c r="K10" s="574">
        <f>'Haver Pivoted'!GV12</f>
        <v>826.6</v>
      </c>
      <c r="L10" s="574">
        <f>'Haver Pivoted'!GW12</f>
        <v>838.8</v>
      </c>
      <c r="M10" s="574">
        <f>'Haver Pivoted'!GX12</f>
        <v>854.9</v>
      </c>
      <c r="N10" s="574">
        <f>'Haver Pivoted'!GY12</f>
        <v>871.2</v>
      </c>
      <c r="O10" s="574">
        <f>'Haver Pivoted'!GZ12</f>
        <v>887.1</v>
      </c>
      <c r="P10" s="574">
        <f>'Haver Pivoted'!HA12</f>
        <v>902.4</v>
      </c>
      <c r="Q10" s="574">
        <f>'Haver Pivoted'!HB12</f>
        <v>917.6</v>
      </c>
      <c r="R10" s="574">
        <f>'Haver Pivoted'!HC12</f>
        <v>926.6</v>
      </c>
      <c r="S10" s="575">
        <f>'Haver Pivoted'!HD12</f>
        <v>937.4</v>
      </c>
      <c r="T10" s="566">
        <f>'Haver Pivoted'!HE12</f>
        <v>958.5</v>
      </c>
      <c r="U10" s="598">
        <f>'Haver Pivoted'!HF12</f>
        <v>981.1</v>
      </c>
      <c r="V10" s="575">
        <f>'Haver Pivoted'!HG12</f>
        <v>1001.8</v>
      </c>
      <c r="W10" s="575">
        <f>'Haver Pivoted'!HH12</f>
        <v>1019.9</v>
      </c>
      <c r="X10" s="575">
        <f>'Haver Pivoted'!HI12</f>
        <v>1035.3</v>
      </c>
      <c r="Y10" s="575">
        <f>'Haver Pivoted'!HJ12</f>
        <v>1049.2</v>
      </c>
      <c r="Z10" s="575">
        <f>'Haver Pivoted'!HK12</f>
        <v>1067.0999999999999</v>
      </c>
      <c r="AA10" s="575">
        <f>'Haver Pivoted'!HL12</f>
        <v>1090.2</v>
      </c>
      <c r="AB10" s="575">
        <f>'Haver Pivoted'!HM12</f>
        <v>1118.5</v>
      </c>
      <c r="AC10" s="575">
        <f>'Haver Pivoted'!HN12</f>
        <v>1150.3</v>
      </c>
      <c r="AD10" s="585">
        <f t="shared" ref="AD10:AE10" si="0">AC10*(1+AD13)+AD12</f>
        <v>1179.9491604763948</v>
      </c>
      <c r="AE10" s="585">
        <f t="shared" si="0"/>
        <v>1194.9759053306122</v>
      </c>
      <c r="AF10" s="585">
        <f>AE10*(1+AF13)+AF12</f>
        <v>1212.8587157717825</v>
      </c>
      <c r="AG10" s="585">
        <f>AF10*(1+AG13)+AG12</f>
        <v>1231.0091424116126</v>
      </c>
      <c r="AH10" s="585">
        <f t="shared" ref="AH10:AI10" si="1">AG10*(1+AH13)+AH12</f>
        <v>1249.431190125624</v>
      </c>
      <c r="AI10" s="585">
        <f t="shared" si="1"/>
        <v>1268.1289237222863</v>
      </c>
      <c r="AJ10" s="585">
        <f>AI10*(1+AJ13)+AJ12</f>
        <v>1287.2701699300753</v>
      </c>
      <c r="AK10" s="585">
        <f>AJ10*(1+AK13)+AK12</f>
        <v>1306.7003357418046</v>
      </c>
      <c r="AL10" s="585">
        <f t="shared" ref="AL10:AN10" si="2">AK10*(1+AL13)+AL12</f>
        <v>1326.4237821346351</v>
      </c>
      <c r="AM10" s="585">
        <f t="shared" si="2"/>
        <v>1346.4449359106889</v>
      </c>
      <c r="AN10" s="585">
        <f t="shared" si="2"/>
        <v>1346.4449359106889</v>
      </c>
    </row>
    <row r="11" spans="2:40" ht="28.5" customHeight="1" x14ac:dyDescent="0.35">
      <c r="B11" s="619" t="s">
        <v>903</v>
      </c>
      <c r="C11" s="611" t="s">
        <v>518</v>
      </c>
      <c r="D11" s="620"/>
      <c r="E11" s="608"/>
      <c r="F11" s="608"/>
      <c r="G11" s="608"/>
      <c r="H11" s="608"/>
      <c r="I11" s="608"/>
      <c r="J11" s="609">
        <f>'Haver Pivoted'!GU46</f>
        <v>9.6</v>
      </c>
      <c r="K11" s="609">
        <f>'Haver Pivoted'!GV46</f>
        <v>14.4</v>
      </c>
      <c r="L11" s="609">
        <f>'Haver Pivoted'!GW46</f>
        <v>14.3</v>
      </c>
      <c r="M11" s="609">
        <f>'Haver Pivoted'!GX46</f>
        <v>15</v>
      </c>
      <c r="N11" s="609">
        <f>'Haver Pivoted'!GY46</f>
        <v>15.3</v>
      </c>
      <c r="O11" s="609">
        <f>'Haver Pivoted'!GZ46</f>
        <v>15.6</v>
      </c>
      <c r="P11" s="609">
        <f>'Haver Pivoted'!HA46</f>
        <v>15.7</v>
      </c>
      <c r="Q11" s="609">
        <f>'Haver Pivoted'!HB46</f>
        <v>15.8</v>
      </c>
      <c r="R11" s="609">
        <f>'Haver Pivoted'!HC46</f>
        <v>7.9</v>
      </c>
      <c r="S11" s="550">
        <f>'Haver Pivoted'!HD46</f>
        <v>0</v>
      </c>
      <c r="T11" s="550">
        <f>'Haver Pivoted'!HE46</f>
        <v>0</v>
      </c>
      <c r="U11" s="550">
        <f>'Haver Pivoted'!HF46</f>
        <v>0</v>
      </c>
      <c r="V11" s="550">
        <f>'Haver Pivoted'!HG46</f>
        <v>0</v>
      </c>
      <c r="W11" s="550">
        <f>'Haver Pivoted'!HH46</f>
        <v>0</v>
      </c>
      <c r="X11" s="550">
        <f>'Haver Pivoted'!HI46</f>
        <v>0</v>
      </c>
      <c r="Y11" s="550">
        <f>'Haver Pivoted'!HJ46</f>
        <v>0</v>
      </c>
      <c r="Z11" s="550">
        <f>'Haver Pivoted'!HK46</f>
        <v>0</v>
      </c>
      <c r="AA11" s="550">
        <f>'Haver Pivoted'!HL46</f>
        <v>0</v>
      </c>
      <c r="AB11" s="550">
        <f>'Haver Pivoted'!HM46</f>
        <v>0</v>
      </c>
      <c r="AC11" s="550">
        <f>'Haver Pivoted'!HN46</f>
        <v>0</v>
      </c>
      <c r="AD11" s="601"/>
      <c r="AE11" s="601"/>
      <c r="AF11" s="601"/>
      <c r="AG11" s="601"/>
      <c r="AH11" s="601"/>
      <c r="AI11" s="601"/>
      <c r="AJ11" s="601"/>
      <c r="AK11" s="601"/>
      <c r="AL11" s="601"/>
      <c r="AM11" s="601"/>
      <c r="AN11" s="601"/>
    </row>
    <row r="12" spans="2:40" x14ac:dyDescent="0.35">
      <c r="B12" s="619" t="s">
        <v>1831</v>
      </c>
      <c r="C12" s="611"/>
      <c r="D12" s="620"/>
      <c r="E12" s="608"/>
      <c r="F12" s="608"/>
      <c r="G12" s="608"/>
      <c r="H12" s="608"/>
      <c r="I12" s="608"/>
      <c r="J12" s="609"/>
      <c r="K12" s="609"/>
      <c r="L12" s="609"/>
      <c r="M12" s="609"/>
      <c r="N12" s="609"/>
      <c r="O12" s="609"/>
      <c r="P12" s="609"/>
      <c r="Q12" s="609"/>
      <c r="R12" s="609"/>
      <c r="S12" s="550"/>
      <c r="T12" s="550"/>
      <c r="U12" s="550"/>
      <c r="V12" s="550"/>
      <c r="W12" s="408">
        <v>-7</v>
      </c>
      <c r="X12" s="601"/>
      <c r="Y12" s="601">
        <v>-13.3</v>
      </c>
      <c r="Z12" s="601">
        <v>-8</v>
      </c>
      <c r="AA12" s="601">
        <v>-2</v>
      </c>
      <c r="AB12" s="601">
        <v>12</v>
      </c>
      <c r="AC12" s="601">
        <f>16</f>
        <v>16</v>
      </c>
      <c r="AD12" s="601">
        <v>15</v>
      </c>
      <c r="AE12" s="601"/>
      <c r="AF12" s="601"/>
      <c r="AG12" s="601"/>
      <c r="AH12" s="601"/>
      <c r="AI12" s="601"/>
      <c r="AJ12" s="601"/>
      <c r="AK12" s="601"/>
      <c r="AL12" s="601"/>
      <c r="AM12" s="601"/>
      <c r="AN12" s="601"/>
    </row>
    <row r="13" spans="2:40" x14ac:dyDescent="0.35">
      <c r="B13" s="614" t="s">
        <v>453</v>
      </c>
      <c r="C13" s="613"/>
      <c r="D13" s="589"/>
      <c r="E13" s="561"/>
      <c r="F13" s="561"/>
      <c r="G13" s="561"/>
      <c r="H13" s="561"/>
      <c r="I13" s="561"/>
      <c r="J13" s="576"/>
      <c r="K13" s="576"/>
      <c r="L13" s="576"/>
      <c r="M13" s="576"/>
      <c r="N13" s="576">
        <f>(1 + $E$26)^0.25-1</f>
        <v>0</v>
      </c>
      <c r="O13" s="576">
        <f>(1 + $E$26)^0.25-1</f>
        <v>0</v>
      </c>
      <c r="P13" s="576">
        <f>(1 + $F$26)^0.25-1</f>
        <v>3.0584654007782985E-2</v>
      </c>
      <c r="Q13" s="576">
        <f>(1 +$F$26)^0.25-1</f>
        <v>3.0584654007782985E-2</v>
      </c>
      <c r="R13" s="576">
        <f>(1 +$F$26)^0.25-1</f>
        <v>3.0584654007782985E-2</v>
      </c>
      <c r="S13" s="610">
        <f>(1 +$F$26)^0.25-1</f>
        <v>3.0584654007782985E-2</v>
      </c>
      <c r="T13" s="610">
        <f>(1 +$G$26)^0.25-1</f>
        <v>1.0343738735768992E-2</v>
      </c>
      <c r="U13" s="610">
        <f>(1 +$G$26)^0.25-1</f>
        <v>1.0343738735768992E-2</v>
      </c>
      <c r="V13" s="610">
        <f>(1 +$G$26)^0.25-1</f>
        <v>1.0343738735768992E-2</v>
      </c>
      <c r="W13" s="576">
        <f>(1 +$G$26)^0.25-1</f>
        <v>1.0343738735768992E-2</v>
      </c>
      <c r="X13" s="602">
        <f>(1 +$H$26)^0.25-1</f>
        <v>2.4149796973031323E-2</v>
      </c>
      <c r="Y13" s="592">
        <f t="shared" ref="Y13:AA13" si="3">(1 +$H$26)^0.25-1</f>
        <v>2.4149796973031323E-2</v>
      </c>
      <c r="Z13" s="592">
        <f t="shared" si="3"/>
        <v>2.4149796973031323E-2</v>
      </c>
      <c r="AA13" s="592">
        <f t="shared" si="3"/>
        <v>2.4149796973031323E-2</v>
      </c>
      <c r="AB13" s="602">
        <f>(1 +$I$26)^0.25-1</f>
        <v>1.2735078219938245E-2</v>
      </c>
      <c r="AC13" s="592">
        <f>(1 +$I$26)^0.25-1</f>
        <v>1.2735078219938245E-2</v>
      </c>
      <c r="AD13" s="592">
        <f t="shared" ref="AD13:AE13" si="4">(1 +$I$26)^0.25-1</f>
        <v>1.2735078219938245E-2</v>
      </c>
      <c r="AE13" s="592">
        <f t="shared" si="4"/>
        <v>1.2735078219938245E-2</v>
      </c>
      <c r="AF13" s="602">
        <f>(1 +$J$26)^0.25-1</f>
        <v>1.4964996667629515E-2</v>
      </c>
      <c r="AG13" s="592">
        <f>(1 +$J$26)^0.25-1</f>
        <v>1.4964996667629515E-2</v>
      </c>
      <c r="AH13" s="592">
        <f>(1 +$J$26)^0.25-1</f>
        <v>1.4964996667629515E-2</v>
      </c>
      <c r="AI13" s="592">
        <f>(1 +$J$26)^0.25-1</f>
        <v>1.4964996667629515E-2</v>
      </c>
      <c r="AJ13" s="602">
        <f>(1 +$K$26)^0.25-1</f>
        <v>1.5094085348676067E-2</v>
      </c>
      <c r="AK13" s="592">
        <f>(1 +$K$26)^0.25-1</f>
        <v>1.5094085348676067E-2</v>
      </c>
      <c r="AL13" s="592">
        <f t="shared" ref="AL13:AM13" si="5">(1 +$K$26)^0.25-1</f>
        <v>1.5094085348676067E-2</v>
      </c>
      <c r="AM13" s="592">
        <f t="shared" si="5"/>
        <v>1.5094085348676067E-2</v>
      </c>
      <c r="AN13" s="602">
        <f>(1 +$L$26)^0.25-1</f>
        <v>0</v>
      </c>
    </row>
    <row r="14" spans="2:40" ht="15.75" customHeight="1" x14ac:dyDescent="0.35">
      <c r="B14" s="612"/>
      <c r="C14" s="600"/>
      <c r="D14" s="503"/>
      <c r="E14" s="503"/>
      <c r="F14" s="503"/>
      <c r="G14" s="503"/>
      <c r="H14" s="503"/>
      <c r="I14" s="503"/>
      <c r="J14" s="564"/>
      <c r="K14" s="564"/>
      <c r="L14" s="564"/>
      <c r="M14" s="564"/>
    </row>
    <row r="15" spans="2:40" ht="15.75" customHeight="1" x14ac:dyDescent="0.35">
      <c r="B15" s="612"/>
      <c r="C15" s="600"/>
      <c r="D15" s="503"/>
    </row>
    <row r="16" spans="2:40" ht="15.75" customHeight="1" x14ac:dyDescent="0.35">
      <c r="B16" s="612"/>
      <c r="C16" s="600"/>
      <c r="D16" s="503"/>
      <c r="E16" s="503"/>
      <c r="F16" s="503"/>
      <c r="G16" s="503"/>
      <c r="H16" s="503"/>
      <c r="I16" s="503"/>
      <c r="J16" s="564"/>
      <c r="K16" s="564"/>
      <c r="L16" s="564"/>
    </row>
    <row r="17" spans="2:32" x14ac:dyDescent="0.35">
      <c r="B17" s="612"/>
      <c r="C17" s="600"/>
      <c r="D17" s="503"/>
      <c r="E17" s="503"/>
      <c r="F17" s="503"/>
      <c r="G17" s="503"/>
      <c r="H17" s="503"/>
      <c r="I17" s="503"/>
      <c r="J17" s="564"/>
      <c r="K17" s="564"/>
      <c r="L17" s="564"/>
    </row>
    <row r="18" spans="2:32" x14ac:dyDescent="0.35">
      <c r="B18" s="612"/>
      <c r="C18" s="600"/>
      <c r="D18" s="503"/>
      <c r="E18" s="503"/>
      <c r="F18" s="503"/>
      <c r="G18" s="503"/>
      <c r="H18" s="503"/>
      <c r="I18" s="503"/>
      <c r="J18" s="564"/>
      <c r="K18" s="564"/>
      <c r="L18" s="564"/>
      <c r="N18" s="526"/>
      <c r="R18" s="526"/>
      <c r="V18" s="526"/>
      <c r="Z18" s="526"/>
    </row>
    <row r="19" spans="2:32" ht="14.9" customHeight="1" x14ac:dyDescent="0.35">
      <c r="B19" s="523" t="s">
        <v>351</v>
      </c>
    </row>
    <row r="20" spans="2:32" x14ac:dyDescent="0.35">
      <c r="B20" s="617" t="s">
        <v>430</v>
      </c>
      <c r="C20" s="617">
        <v>2019</v>
      </c>
      <c r="D20" s="618">
        <v>2020</v>
      </c>
      <c r="E20" s="593">
        <v>2021</v>
      </c>
      <c r="F20" s="593">
        <v>2022</v>
      </c>
      <c r="G20" s="593">
        <v>2023</v>
      </c>
      <c r="H20" s="593">
        <v>2024</v>
      </c>
      <c r="I20" s="593">
        <v>2025</v>
      </c>
      <c r="J20" s="593">
        <v>2026</v>
      </c>
      <c r="K20" s="594">
        <v>2027</v>
      </c>
    </row>
    <row r="21" spans="2:32" ht="21" customHeight="1" x14ac:dyDescent="0.35">
      <c r="B21" s="604" t="s">
        <v>1965</v>
      </c>
      <c r="C21" s="596"/>
      <c r="D21" s="596"/>
      <c r="E21" s="242">
        <v>867.67600000000004</v>
      </c>
      <c r="F21" s="242">
        <v>974.649</v>
      </c>
      <c r="G21" s="242">
        <v>1008.504</v>
      </c>
      <c r="H21" s="242">
        <v>1088.9089999999999</v>
      </c>
      <c r="I21" s="242">
        <v>1145.4469999999999</v>
      </c>
      <c r="J21" s="242">
        <v>1215.568</v>
      </c>
      <c r="K21" s="623">
        <v>1290.6379999999999</v>
      </c>
      <c r="L21" s="603">
        <v>1371.894</v>
      </c>
      <c r="M21" s="603">
        <v>1460.277</v>
      </c>
      <c r="N21" s="603">
        <v>1554.6379999999999</v>
      </c>
      <c r="O21" s="603">
        <v>1658.7670000000001</v>
      </c>
      <c r="P21" s="408">
        <v>1770.1189999999999</v>
      </c>
      <c r="Q21" s="408">
        <v>1904.5160000000001</v>
      </c>
      <c r="R21" s="408">
        <v>2036.5410000000002</v>
      </c>
      <c r="S21" s="408">
        <v>2166.35</v>
      </c>
      <c r="T21" s="408"/>
      <c r="U21" s="408"/>
      <c r="V21" s="408"/>
      <c r="W21" s="408"/>
      <c r="X21" s="408"/>
      <c r="Y21" s="408"/>
      <c r="Z21" s="408"/>
      <c r="AA21" s="408"/>
      <c r="AB21" s="408"/>
      <c r="AC21" s="408"/>
    </row>
    <row r="22" spans="2:32" ht="21" customHeight="1" x14ac:dyDescent="0.35">
      <c r="B22" s="605"/>
      <c r="C22" s="622"/>
      <c r="D22" s="622"/>
      <c r="E22" s="242">
        <f>AVERAGE(L10:O10)</f>
        <v>862.99999999999989</v>
      </c>
      <c r="F22" s="242">
        <f>AVERAGE(P10:S10)</f>
        <v>921</v>
      </c>
      <c r="G22" s="242">
        <f>AVERAGE(T10:W10)</f>
        <v>990.32499999999993</v>
      </c>
      <c r="H22" s="242">
        <f>AVERAGE(X10:AA10)</f>
        <v>1060.45</v>
      </c>
      <c r="I22" s="242">
        <f>AVERAGE(AB10:AE10)</f>
        <v>1160.9312664517518</v>
      </c>
      <c r="J22" s="503">
        <f>AVERAGE(AF10:AI10)</f>
        <v>1240.3569930078263</v>
      </c>
      <c r="K22" s="338">
        <f>AVERAGE(AJ10:AM10)</f>
        <v>1316.709805929301</v>
      </c>
      <c r="L22" s="603"/>
      <c r="M22" s="603"/>
      <c r="N22" s="603"/>
      <c r="O22" s="603"/>
      <c r="P22" s="408"/>
      <c r="Q22" s="408"/>
      <c r="R22" s="408"/>
      <c r="S22" s="408"/>
      <c r="T22" s="408"/>
      <c r="U22" s="408"/>
      <c r="V22" s="408"/>
      <c r="W22" s="408"/>
      <c r="X22" s="408"/>
      <c r="Y22" s="408"/>
      <c r="Z22" s="408"/>
      <c r="AA22" s="408"/>
      <c r="AB22" s="408"/>
      <c r="AC22" s="408"/>
    </row>
    <row r="23" spans="2:32" ht="21" customHeight="1" x14ac:dyDescent="0.35">
      <c r="B23" s="621" t="s">
        <v>454</v>
      </c>
      <c r="C23" s="229"/>
      <c r="D23" s="229">
        <v>47</v>
      </c>
      <c r="E23" s="229">
        <v>48</v>
      </c>
      <c r="F23" s="229">
        <v>-50</v>
      </c>
      <c r="G23" s="229">
        <v>-45</v>
      </c>
      <c r="H23" s="229"/>
      <c r="I23" s="229"/>
      <c r="J23" s="229">
        <f>SUM(D23:G23)</f>
        <v>0</v>
      </c>
      <c r="K23" s="557">
        <v>0</v>
      </c>
      <c r="M23" s="603"/>
      <c r="N23" s="603"/>
      <c r="O23" s="603"/>
      <c r="P23" s="408"/>
      <c r="Q23" s="408"/>
      <c r="R23" s="408"/>
      <c r="S23" s="408"/>
      <c r="T23" s="408"/>
      <c r="U23" s="408"/>
      <c r="V23" s="408"/>
      <c r="W23" s="408"/>
      <c r="X23" s="408"/>
      <c r="Y23" s="408"/>
      <c r="Z23" s="408"/>
      <c r="AA23" s="408"/>
      <c r="AB23" s="408"/>
      <c r="AC23" s="408"/>
    </row>
    <row r="24" spans="2:32" x14ac:dyDescent="0.35">
      <c r="B24" s="621" t="s">
        <v>1372</v>
      </c>
      <c r="C24" s="622"/>
      <c r="D24" s="622"/>
      <c r="E24" s="622">
        <f>E21-E23</f>
        <v>819.67600000000004</v>
      </c>
      <c r="F24" s="622">
        <f>F21+F23</f>
        <v>924.649</v>
      </c>
      <c r="G24" s="622">
        <f>G21+G23</f>
        <v>963.50400000000002</v>
      </c>
      <c r="H24" s="622">
        <f>H21+H23</f>
        <v>1088.9089999999999</v>
      </c>
      <c r="I24" s="622">
        <f>I21+I23</f>
        <v>1145.4469999999999</v>
      </c>
      <c r="J24" s="622">
        <f t="shared" ref="J24:K24" si="6">J21+J23</f>
        <v>1215.568</v>
      </c>
      <c r="K24" s="597">
        <f t="shared" si="6"/>
        <v>1290.6379999999999</v>
      </c>
      <c r="N24" s="616"/>
      <c r="O24" s="600"/>
      <c r="P24" s="408"/>
      <c r="Q24" s="408"/>
      <c r="R24" s="408"/>
      <c r="S24" s="408"/>
      <c r="T24" s="408"/>
      <c r="U24" s="408"/>
      <c r="V24" s="408"/>
      <c r="W24" s="408"/>
      <c r="X24" s="408"/>
      <c r="Y24" s="408"/>
      <c r="Z24" s="408"/>
      <c r="AA24" s="408"/>
      <c r="AB24" s="408"/>
      <c r="AC24" s="408"/>
    </row>
    <row r="25" spans="2:32" x14ac:dyDescent="0.35">
      <c r="B25" s="621" t="s">
        <v>456</v>
      </c>
      <c r="C25" s="503">
        <f>AVERAGE(D10:G10)</f>
        <v>778.75</v>
      </c>
      <c r="D25" s="503">
        <f>AVERAGE(H10:K10)</f>
        <v>811.19999999999993</v>
      </c>
      <c r="E25" s="622">
        <f>AVERAGE(L10:O10)</f>
        <v>862.99999999999989</v>
      </c>
      <c r="F25" s="229"/>
      <c r="G25" s="229"/>
      <c r="H25" s="229"/>
      <c r="I25" s="229"/>
      <c r="J25" s="229"/>
      <c r="K25" s="557"/>
      <c r="L25" s="245" t="s">
        <v>455</v>
      </c>
      <c r="P25" s="408"/>
      <c r="Q25" s="408"/>
      <c r="R25" s="408"/>
      <c r="S25" s="408"/>
      <c r="T25" s="408"/>
      <c r="U25" s="408"/>
      <c r="V25" s="408"/>
      <c r="W25" s="408"/>
      <c r="X25" s="408"/>
      <c r="Y25" s="408"/>
      <c r="Z25" s="408"/>
      <c r="AA25" s="408"/>
      <c r="AB25" s="408"/>
      <c r="AC25" s="408"/>
    </row>
    <row r="26" spans="2:32" x14ac:dyDescent="0.35">
      <c r="B26" s="606" t="s">
        <v>914</v>
      </c>
      <c r="C26" s="229"/>
      <c r="D26" s="229"/>
      <c r="E26" s="229"/>
      <c r="F26" s="229">
        <f>F24/E24-1</f>
        <v>0.12806645552632978</v>
      </c>
      <c r="G26" s="229">
        <f>G24/F24-1+G27</f>
        <v>4.2021350804467339E-2</v>
      </c>
      <c r="H26" s="229">
        <f>H24/G24-1+H27-0.03</f>
        <v>0.10015514206479662</v>
      </c>
      <c r="I26" s="229">
        <f>I24/H24-1</f>
        <v>5.1921694099323235E-2</v>
      </c>
      <c r="J26" s="229">
        <f>J24/I24-1</f>
        <v>6.1217149287570827E-2</v>
      </c>
      <c r="K26" s="557">
        <f>K24/J24-1</f>
        <v>6.1757137404077733E-2</v>
      </c>
      <c r="P26" s="245"/>
      <c r="Q26" s="245"/>
      <c r="R26" s="245"/>
      <c r="S26" s="245"/>
      <c r="T26" s="245"/>
      <c r="U26" s="245"/>
      <c r="V26" s="245"/>
      <c r="W26" s="245"/>
      <c r="X26" s="245"/>
      <c r="Y26" s="245"/>
      <c r="Z26" s="245"/>
      <c r="AA26" s="245"/>
      <c r="AB26" s="245"/>
      <c r="AC26" s="245"/>
    </row>
    <row r="27" spans="2:32" x14ac:dyDescent="0.35">
      <c r="B27" s="607" t="s">
        <v>887</v>
      </c>
      <c r="C27" s="554"/>
      <c r="D27" s="554"/>
      <c r="E27" s="554"/>
      <c r="F27" s="554"/>
      <c r="G27" s="554">
        <v>0</v>
      </c>
      <c r="H27" s="554"/>
      <c r="I27" s="554"/>
      <c r="J27" s="554"/>
      <c r="K27" s="570"/>
      <c r="P27" s="245"/>
      <c r="Q27" s="245"/>
      <c r="R27" s="245"/>
      <c r="S27" s="245"/>
      <c r="T27" s="245"/>
      <c r="U27" s="245"/>
      <c r="V27" s="245"/>
      <c r="W27" s="245"/>
      <c r="X27" s="245"/>
      <c r="Y27" s="245"/>
      <c r="Z27" s="245"/>
      <c r="AA27" s="245"/>
      <c r="AB27" s="245"/>
      <c r="AC27" s="245"/>
    </row>
    <row r="28" spans="2:32" x14ac:dyDescent="0.35">
      <c r="C28" s="615"/>
      <c r="D28" s="615"/>
      <c r="E28" s="615"/>
      <c r="F28" s="615"/>
      <c r="G28" s="615"/>
      <c r="H28" s="615"/>
      <c r="I28" s="615"/>
      <c r="J28" s="615"/>
      <c r="P28" s="245"/>
      <c r="Q28" s="245"/>
      <c r="R28" s="245"/>
      <c r="S28" s="245"/>
      <c r="T28" s="245"/>
      <c r="U28" s="245"/>
      <c r="V28" s="245"/>
      <c r="W28" s="245"/>
      <c r="X28" s="245"/>
      <c r="Y28" s="245"/>
      <c r="Z28" s="245"/>
      <c r="AA28" s="245"/>
      <c r="AB28" s="245"/>
      <c r="AC28" s="245"/>
    </row>
    <row r="29" spans="2:32" x14ac:dyDescent="0.35">
      <c r="P29" s="245"/>
      <c r="Q29" s="245"/>
      <c r="R29" s="245"/>
      <c r="S29" s="245"/>
      <c r="T29" s="245"/>
      <c r="U29" s="245"/>
      <c r="V29" s="245"/>
      <c r="W29" s="245"/>
      <c r="X29" s="245"/>
      <c r="Y29" s="245"/>
      <c r="Z29" s="245"/>
      <c r="AA29" s="245"/>
      <c r="AB29" s="245"/>
      <c r="AC29" s="245"/>
    </row>
    <row r="30" spans="2:32" x14ac:dyDescent="0.35">
      <c r="S30" s="245"/>
      <c r="T30" s="245"/>
      <c r="U30" s="245"/>
      <c r="V30" s="245"/>
      <c r="W30" s="245"/>
      <c r="X30" s="245"/>
      <c r="Y30" s="245"/>
      <c r="Z30" s="245"/>
      <c r="AA30" s="245"/>
      <c r="AB30" s="245"/>
      <c r="AC30" s="245"/>
      <c r="AD30" s="245"/>
      <c r="AE30" s="245"/>
      <c r="AF30" s="245"/>
    </row>
    <row r="31" spans="2:32" x14ac:dyDescent="0.35">
      <c r="P31" s="245"/>
      <c r="Q31" s="245"/>
      <c r="R31" s="245"/>
      <c r="S31" s="245"/>
      <c r="T31" s="245"/>
      <c r="U31" s="245"/>
      <c r="V31" s="245"/>
      <c r="W31" s="245"/>
      <c r="X31" s="245"/>
      <c r="Y31" s="245"/>
      <c r="Z31" s="245"/>
      <c r="AA31" s="245"/>
      <c r="AB31" s="245"/>
      <c r="AC31" s="245"/>
    </row>
    <row r="32" spans="2:32" x14ac:dyDescent="0.35">
      <c r="F32" s="56"/>
      <c r="G32" s="56"/>
      <c r="P32" s="245"/>
      <c r="Q32" s="245"/>
      <c r="R32" s="245"/>
      <c r="S32" s="245"/>
      <c r="T32" s="245"/>
      <c r="U32" s="245"/>
      <c r="V32" s="245"/>
      <c r="W32" s="245"/>
      <c r="X32" s="245"/>
      <c r="Y32" s="245"/>
      <c r="Z32" s="245"/>
      <c r="AA32" s="245"/>
      <c r="AB32" s="245"/>
      <c r="AC32" s="245"/>
    </row>
    <row r="33" spans="16:29" x14ac:dyDescent="0.35">
      <c r="P33" s="245"/>
      <c r="Q33" s="245"/>
      <c r="R33" s="245"/>
      <c r="S33" s="245"/>
      <c r="T33" s="245"/>
      <c r="U33" s="245"/>
      <c r="V33" s="245"/>
      <c r="W33" s="245"/>
      <c r="X33" s="245"/>
      <c r="Y33" s="245"/>
      <c r="Z33" s="245"/>
      <c r="AA33" s="245"/>
      <c r="AB33" s="245"/>
      <c r="AC33" s="245"/>
    </row>
    <row r="34" spans="16:29" x14ac:dyDescent="0.35">
      <c r="P34" s="245"/>
      <c r="Q34" s="245"/>
      <c r="R34" s="245"/>
      <c r="S34" s="245"/>
      <c r="T34" s="245"/>
      <c r="U34" s="245"/>
      <c r="V34" s="245"/>
      <c r="W34" s="245"/>
      <c r="X34" s="245"/>
      <c r="Y34" s="245"/>
      <c r="Z34" s="245"/>
      <c r="AA34" s="245"/>
      <c r="AB34" s="245"/>
      <c r="AC34" s="245"/>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26"/>
  <sheetViews>
    <sheetView zoomScaleNormal="100" workbookViewId="0">
      <pane xSplit="3" ySplit="8" topLeftCell="Y9" activePane="bottomRight" state="frozen"/>
      <selection pane="topRight" activeCell="D1" sqref="D1"/>
      <selection pane="bottomLeft" activeCell="A9" sqref="A9"/>
      <selection pane="bottomRight" activeCell="AK12" sqref="AK12"/>
    </sheetView>
  </sheetViews>
  <sheetFormatPr defaultColWidth="10.90625" defaultRowHeight="14.5" x14ac:dyDescent="0.35"/>
  <cols>
    <col min="1" max="1" width="16.81640625" customWidth="1"/>
  </cols>
  <sheetData>
    <row r="1" spans="2:40" x14ac:dyDescent="0.35">
      <c r="B1" s="1253" t="s">
        <v>1374</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2:40" x14ac:dyDescent="0.35">
      <c r="B2" s="1346" t="s">
        <v>1377</v>
      </c>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6"/>
      <c r="AA2" s="1346"/>
      <c r="AB2" s="1346"/>
      <c r="AC2" s="1346"/>
    </row>
    <row r="3" spans="2:40" x14ac:dyDescent="0.35">
      <c r="B3" s="1346"/>
      <c r="C3" s="1346"/>
      <c r="D3" s="1346"/>
      <c r="E3" s="1346"/>
      <c r="F3" s="1346"/>
      <c r="G3" s="1346"/>
      <c r="H3" s="1346"/>
      <c r="I3" s="1346"/>
      <c r="J3" s="1346"/>
      <c r="K3" s="1346"/>
      <c r="L3" s="1346"/>
      <c r="M3" s="1346"/>
      <c r="N3" s="1346"/>
      <c r="O3" s="1346"/>
      <c r="P3" s="1346"/>
      <c r="Q3" s="1346"/>
      <c r="R3" s="1346"/>
      <c r="S3" s="1346"/>
      <c r="T3" s="1346"/>
      <c r="U3" s="1346"/>
      <c r="V3" s="1346"/>
      <c r="W3" s="1346"/>
      <c r="X3" s="1346"/>
      <c r="Y3" s="1346"/>
      <c r="Z3" s="1346"/>
      <c r="AA3" s="1346"/>
      <c r="AB3" s="1346"/>
      <c r="AC3" s="1346"/>
    </row>
    <row r="4" spans="2:40" x14ac:dyDescent="0.35">
      <c r="B4" s="1346"/>
      <c r="C4" s="1346"/>
      <c r="D4" s="1346"/>
      <c r="E4" s="1346"/>
      <c r="F4" s="1346"/>
      <c r="G4" s="1346"/>
      <c r="H4" s="1346"/>
      <c r="I4" s="1346"/>
      <c r="J4" s="1346"/>
      <c r="K4" s="1346"/>
      <c r="L4" s="1346"/>
      <c r="M4" s="1346"/>
      <c r="N4" s="1346"/>
      <c r="O4" s="1346"/>
      <c r="P4" s="1346"/>
      <c r="Q4" s="1346"/>
      <c r="R4" s="1346"/>
      <c r="S4" s="1346"/>
      <c r="T4" s="1346"/>
      <c r="U4" s="1346"/>
      <c r="V4" s="1346"/>
      <c r="W4" s="1346"/>
      <c r="X4" s="1346"/>
      <c r="Y4" s="1346"/>
      <c r="Z4" s="1346"/>
      <c r="AA4" s="1346"/>
      <c r="AB4" s="1346"/>
      <c r="AC4" s="1346"/>
    </row>
    <row r="5" spans="2:40" x14ac:dyDescent="0.35">
      <c r="B5" s="406"/>
      <c r="C5" s="245"/>
      <c r="D5" s="245"/>
      <c r="E5" s="245"/>
      <c r="F5" s="245"/>
      <c r="G5" s="245"/>
      <c r="H5" s="245"/>
      <c r="I5" s="245"/>
      <c r="J5" s="245"/>
      <c r="K5" s="245"/>
      <c r="L5" s="245"/>
      <c r="M5" s="245"/>
      <c r="N5" s="245"/>
      <c r="O5" s="245"/>
      <c r="P5" s="245"/>
      <c r="Q5" s="245"/>
      <c r="R5" s="245"/>
      <c r="S5" s="245"/>
      <c r="T5" s="245"/>
      <c r="U5" s="245"/>
      <c r="V5" s="245"/>
      <c r="W5" s="245"/>
      <c r="X5" s="245"/>
      <c r="Y5" s="245"/>
    </row>
    <row r="6" spans="2:40" x14ac:dyDescent="0.35">
      <c r="B6" s="1256" t="s">
        <v>1690</v>
      </c>
      <c r="C6" s="1384"/>
      <c r="D6" s="1274" t="s">
        <v>279</v>
      </c>
      <c r="E6" s="1275"/>
      <c r="F6" s="1275"/>
      <c r="G6" s="1275"/>
      <c r="H6" s="1275"/>
      <c r="I6" s="1275"/>
      <c r="J6" s="1275"/>
      <c r="K6" s="1275"/>
      <c r="L6" s="1275"/>
      <c r="M6" s="1275"/>
      <c r="N6" s="1275"/>
      <c r="O6" s="1275"/>
      <c r="P6" s="1275"/>
      <c r="Q6" s="1259"/>
      <c r="R6" s="1259"/>
      <c r="S6" s="1259"/>
      <c r="T6" s="1259"/>
      <c r="U6" s="1259"/>
      <c r="V6" s="1350"/>
      <c r="W6" s="1393" t="s">
        <v>280</v>
      </c>
      <c r="X6" s="1394"/>
      <c r="Y6" s="1394"/>
      <c r="Z6" s="1394"/>
      <c r="AA6" s="1394"/>
      <c r="AB6" s="1394"/>
      <c r="AC6" s="1394"/>
      <c r="AD6" s="1394"/>
      <c r="AE6" s="1394"/>
      <c r="AF6" s="1394"/>
      <c r="AG6" s="1395"/>
      <c r="AH6" s="624"/>
      <c r="AI6" s="624"/>
      <c r="AJ6" s="624"/>
    </row>
    <row r="7" spans="2:40" x14ac:dyDescent="0.35">
      <c r="B7" s="1258"/>
      <c r="C7" s="1350"/>
      <c r="D7" s="221">
        <v>2018</v>
      </c>
      <c r="E7" s="1347">
        <v>2019</v>
      </c>
      <c r="F7" s="1348"/>
      <c r="G7" s="1348"/>
      <c r="H7" s="1389"/>
      <c r="I7" s="1347">
        <v>2020</v>
      </c>
      <c r="J7" s="1348"/>
      <c r="K7" s="1348"/>
      <c r="L7" s="1348"/>
      <c r="M7" s="1347">
        <v>2021</v>
      </c>
      <c r="N7" s="1348"/>
      <c r="O7" s="1348"/>
      <c r="P7" s="1348"/>
      <c r="Q7" s="1360">
        <v>2022</v>
      </c>
      <c r="R7" s="1361"/>
      <c r="S7" s="299"/>
      <c r="T7" s="299"/>
      <c r="U7" s="453"/>
      <c r="V7" s="299">
        <v>2023</v>
      </c>
      <c r="W7" s="335"/>
      <c r="X7" s="332"/>
      <c r="Y7" s="1271">
        <v>2024</v>
      </c>
      <c r="Z7" s="1352"/>
      <c r="AA7" s="1352"/>
      <c r="AB7" s="1272"/>
      <c r="AC7" s="1270">
        <v>2025</v>
      </c>
      <c r="AD7" s="1352"/>
      <c r="AE7" s="1352"/>
      <c r="AF7" s="1272"/>
      <c r="AG7" s="1270">
        <v>2026</v>
      </c>
      <c r="AH7" s="1352"/>
      <c r="AI7" s="1352"/>
      <c r="AJ7" s="1272"/>
      <c r="AK7" s="1270">
        <v>2027</v>
      </c>
      <c r="AL7" s="1352"/>
      <c r="AM7" s="1352"/>
      <c r="AN7" s="1272"/>
    </row>
    <row r="8" spans="2:40" x14ac:dyDescent="0.35">
      <c r="B8" s="1274"/>
      <c r="C8" s="1351"/>
      <c r="D8" s="221" t="s">
        <v>281</v>
      </c>
      <c r="E8" s="221" t="s">
        <v>282</v>
      </c>
      <c r="F8" s="222" t="s">
        <v>283</v>
      </c>
      <c r="G8" s="222" t="s">
        <v>238</v>
      </c>
      <c r="H8" s="228" t="s">
        <v>281</v>
      </c>
      <c r="I8" s="222" t="s">
        <v>282</v>
      </c>
      <c r="J8" s="222" t="s">
        <v>283</v>
      </c>
      <c r="K8" s="222" t="s">
        <v>238</v>
      </c>
      <c r="L8" s="222" t="s">
        <v>281</v>
      </c>
      <c r="M8" s="221" t="s">
        <v>282</v>
      </c>
      <c r="N8" s="222" t="s">
        <v>283</v>
      </c>
      <c r="O8" s="222" t="s">
        <v>238</v>
      </c>
      <c r="P8" s="222" t="s">
        <v>281</v>
      </c>
      <c r="Q8" s="282" t="s">
        <v>282</v>
      </c>
      <c r="R8" s="283" t="s">
        <v>283</v>
      </c>
      <c r="S8" s="283" t="s">
        <v>238</v>
      </c>
      <c r="T8" s="283" t="s">
        <v>281</v>
      </c>
      <c r="U8" s="282" t="s">
        <v>282</v>
      </c>
      <c r="V8" s="283" t="s">
        <v>283</v>
      </c>
      <c r="W8" s="269" t="s">
        <v>238</v>
      </c>
      <c r="X8" s="298" t="s">
        <v>281</v>
      </c>
      <c r="Y8" s="269" t="s">
        <v>282</v>
      </c>
      <c r="Z8" s="267" t="s">
        <v>283</v>
      </c>
      <c r="AA8" s="269" t="s">
        <v>238</v>
      </c>
      <c r="AB8" s="269" t="s">
        <v>281</v>
      </c>
      <c r="AC8" s="296" t="s">
        <v>282</v>
      </c>
      <c r="AD8" s="267" t="s">
        <v>283</v>
      </c>
      <c r="AE8" s="269" t="s">
        <v>238</v>
      </c>
      <c r="AF8" s="269" t="s">
        <v>281</v>
      </c>
      <c r="AG8" s="296" t="s">
        <v>282</v>
      </c>
      <c r="AH8" s="267" t="s">
        <v>283</v>
      </c>
      <c r="AI8" s="269" t="s">
        <v>238</v>
      </c>
      <c r="AJ8" s="269" t="s">
        <v>281</v>
      </c>
      <c r="AK8" s="1467" t="s">
        <v>282</v>
      </c>
    </row>
    <row r="9" spans="2:40" x14ac:dyDescent="0.35">
      <c r="B9" s="443" t="s">
        <v>1376</v>
      </c>
      <c r="C9" s="647"/>
      <c r="D9" s="648"/>
      <c r="E9" s="647"/>
      <c r="F9" s="647"/>
      <c r="G9" s="647"/>
      <c r="H9" s="647"/>
      <c r="I9" s="647"/>
      <c r="J9" s="649"/>
      <c r="K9" s="649"/>
      <c r="L9" s="649"/>
      <c r="M9" s="649"/>
      <c r="N9" s="649"/>
      <c r="O9" s="649"/>
      <c r="P9" s="649"/>
      <c r="Q9" s="627"/>
      <c r="R9" s="628">
        <v>0</v>
      </c>
      <c r="S9" s="629">
        <v>0</v>
      </c>
      <c r="T9" s="628">
        <v>0</v>
      </c>
      <c r="U9" s="628">
        <v>0</v>
      </c>
      <c r="V9" s="628">
        <v>0</v>
      </c>
      <c r="W9" s="628">
        <v>-7.7999999999999999E-4</v>
      </c>
      <c r="X9" s="628">
        <v>-7.7999999999999999E-4</v>
      </c>
      <c r="Y9" s="628">
        <v>-9.5E-4</v>
      </c>
      <c r="Z9" s="628">
        <v>-9.5E-4</v>
      </c>
      <c r="AA9" s="628">
        <v>-9.5E-4</v>
      </c>
      <c r="AB9" s="628">
        <v>-9.5E-4</v>
      </c>
      <c r="AC9" s="628">
        <v>-9.3999999999999997E-4</v>
      </c>
      <c r="AD9" s="628">
        <v>-9.3999999999999997E-4</v>
      </c>
      <c r="AE9" s="628">
        <v>-9.3999999999999997E-4</v>
      </c>
      <c r="AF9" s="628">
        <v>-9.3999999999999997E-4</v>
      </c>
      <c r="AG9" s="628">
        <v>-9.3999999999999997E-4</v>
      </c>
      <c r="AH9" s="628">
        <v>-9.3999999999999997E-4</v>
      </c>
      <c r="AI9" s="628">
        <v>0</v>
      </c>
      <c r="AJ9" s="628">
        <v>0</v>
      </c>
    </row>
    <row r="10" spans="2:40" x14ac:dyDescent="0.35">
      <c r="B10" s="56" t="s">
        <v>1375</v>
      </c>
      <c r="C10" s="263"/>
      <c r="D10" s="577"/>
      <c r="E10" s="263"/>
      <c r="F10" s="263"/>
      <c r="G10" s="263"/>
      <c r="H10" s="263"/>
      <c r="I10" s="263"/>
      <c r="J10" s="626"/>
      <c r="K10" s="626"/>
      <c r="L10" s="626"/>
      <c r="M10" s="626"/>
      <c r="N10" s="626"/>
      <c r="O10" s="626"/>
      <c r="P10" s="626"/>
      <c r="Q10" s="626"/>
      <c r="R10" s="210"/>
      <c r="S10" s="210"/>
      <c r="T10" s="210"/>
      <c r="U10" s="210">
        <v>26095</v>
      </c>
      <c r="V10" s="210">
        <v>26404</v>
      </c>
      <c r="W10" s="210">
        <v>26686</v>
      </c>
      <c r="X10" s="210">
        <v>26931</v>
      </c>
      <c r="Y10" s="210">
        <v>27174</v>
      </c>
      <c r="Z10" s="210">
        <v>27411</v>
      </c>
      <c r="AA10" s="210">
        <v>27647</v>
      </c>
      <c r="AB10" s="210">
        <v>27893</v>
      </c>
      <c r="AC10" s="210">
        <v>28143</v>
      </c>
      <c r="AD10" s="210">
        <v>28400</v>
      </c>
      <c r="AE10" s="210">
        <v>28649</v>
      </c>
      <c r="AF10" s="210">
        <v>28910</v>
      </c>
      <c r="AG10" s="210">
        <v>28910</v>
      </c>
      <c r="AH10" s="210">
        <v>28910</v>
      </c>
    </row>
    <row r="11" spans="2:40" x14ac:dyDescent="0.35">
      <c r="B11" s="56" t="s">
        <v>311</v>
      </c>
      <c r="C11" s="545"/>
      <c r="D11" s="544"/>
      <c r="E11" s="545"/>
      <c r="F11" s="545"/>
      <c r="G11" s="545"/>
      <c r="H11" s="545"/>
      <c r="I11" s="545"/>
      <c r="J11" s="646">
        <v>45</v>
      </c>
      <c r="K11" s="646">
        <v>45</v>
      </c>
      <c r="L11" s="646">
        <v>45</v>
      </c>
      <c r="M11" s="646">
        <v>45</v>
      </c>
      <c r="N11" s="646">
        <v>45</v>
      </c>
      <c r="O11" s="646">
        <v>45</v>
      </c>
      <c r="P11" s="646">
        <v>45</v>
      </c>
      <c r="Q11" s="646">
        <v>45</v>
      </c>
      <c r="R11" s="645">
        <v>45</v>
      </c>
      <c r="S11" s="645">
        <v>45</v>
      </c>
      <c r="T11" s="645">
        <v>45</v>
      </c>
      <c r="U11" s="650">
        <v>45</v>
      </c>
      <c r="V11" s="650">
        <v>45</v>
      </c>
      <c r="W11" s="650">
        <f>W9*W10*(-1)*0.1</f>
        <v>2.0815079999999999</v>
      </c>
      <c r="X11" s="650">
        <f t="shared" ref="X11:AH11" si="0">X9*X10*(-1)*0.1</f>
        <v>2.1006180000000003</v>
      </c>
      <c r="Y11" s="650">
        <f t="shared" si="0"/>
        <v>2.5815300000000003</v>
      </c>
      <c r="Z11" s="650">
        <f t="shared" si="0"/>
        <v>2.6040450000000002</v>
      </c>
      <c r="AA11" s="650">
        <f>AA9*AA10*(-1)*0.1+AA12</f>
        <v>-8.3735350000000004</v>
      </c>
      <c r="AB11" s="650">
        <f t="shared" ref="AB11:AJ11" si="1">AB9*AB10*(-1)*0.1+AB12</f>
        <v>-8.3501650000000005</v>
      </c>
      <c r="AC11" s="650">
        <f t="shared" si="1"/>
        <v>-8.3545580000000008</v>
      </c>
      <c r="AD11" s="650">
        <f t="shared" si="1"/>
        <v>-8.3304000000000009</v>
      </c>
      <c r="AE11" s="650">
        <f t="shared" si="1"/>
        <v>-8.3069939999999995</v>
      </c>
      <c r="AF11" s="650">
        <f t="shared" si="1"/>
        <v>-8.2824600000000004</v>
      </c>
      <c r="AG11" s="650">
        <f t="shared" si="1"/>
        <v>-8.2824600000000004</v>
      </c>
      <c r="AH11" s="650">
        <f t="shared" si="1"/>
        <v>-8.2824600000000004</v>
      </c>
      <c r="AI11" s="650">
        <f t="shared" si="1"/>
        <v>-11</v>
      </c>
      <c r="AJ11" s="650">
        <f t="shared" si="1"/>
        <v>-11</v>
      </c>
      <c r="AK11">
        <v>-11</v>
      </c>
    </row>
    <row r="12" spans="2:40" x14ac:dyDescent="0.35">
      <c r="B12" s="1232" t="s">
        <v>2326</v>
      </c>
      <c r="C12" s="263"/>
      <c r="D12" s="263"/>
      <c r="E12" s="263"/>
      <c r="F12" s="263"/>
      <c r="G12" s="263"/>
      <c r="H12" s="263"/>
      <c r="I12" s="263"/>
      <c r="J12" s="626"/>
      <c r="K12" s="626"/>
      <c r="L12" s="626"/>
      <c r="M12" s="626"/>
      <c r="N12" s="626"/>
      <c r="O12" s="626"/>
      <c r="P12" s="626"/>
      <c r="Q12" s="626"/>
      <c r="R12" s="210"/>
      <c r="S12" s="210"/>
      <c r="T12" s="210"/>
      <c r="U12" s="80"/>
      <c r="V12" s="80"/>
      <c r="W12" s="80"/>
      <c r="X12" s="80"/>
      <c r="Y12" s="80"/>
      <c r="Z12" s="80"/>
      <c r="AA12" s="80">
        <v>-11</v>
      </c>
      <c r="AB12" s="80">
        <v>-11</v>
      </c>
      <c r="AC12" s="80">
        <v>-11</v>
      </c>
      <c r="AD12" s="80">
        <v>-11</v>
      </c>
      <c r="AE12" s="80">
        <v>-11</v>
      </c>
      <c r="AF12" s="80">
        <v>-11</v>
      </c>
      <c r="AG12" s="80">
        <v>-11</v>
      </c>
      <c r="AH12" s="80">
        <v>-11</v>
      </c>
      <c r="AI12" s="80">
        <v>-11</v>
      </c>
      <c r="AJ12" s="80">
        <v>-11</v>
      </c>
    </row>
    <row r="13" spans="2:40" x14ac:dyDescent="0.35">
      <c r="B13" s="56"/>
      <c r="C13" s="263"/>
      <c r="D13" s="263"/>
      <c r="E13" s="263"/>
      <c r="F13" s="263"/>
      <c r="G13" s="263"/>
      <c r="H13" s="263"/>
      <c r="I13" s="263"/>
      <c r="J13" s="626"/>
      <c r="K13" s="626"/>
      <c r="L13" s="626"/>
      <c r="M13" s="626"/>
      <c r="N13" s="626"/>
      <c r="O13" s="626"/>
      <c r="P13" s="626"/>
      <c r="Q13" s="626"/>
      <c r="R13" s="210"/>
      <c r="S13" s="210"/>
      <c r="T13" s="210"/>
      <c r="U13" s="80"/>
      <c r="V13" s="80"/>
      <c r="W13" s="80"/>
      <c r="X13" s="80"/>
      <c r="Y13" s="80"/>
      <c r="Z13" s="80"/>
      <c r="AA13" s="80"/>
      <c r="AB13" s="80"/>
      <c r="AC13" s="80"/>
      <c r="AD13" s="80"/>
      <c r="AE13" s="80"/>
      <c r="AF13" s="80"/>
      <c r="AG13" s="80"/>
      <c r="AH13" s="80"/>
    </row>
    <row r="14" spans="2:40" x14ac:dyDescent="0.35">
      <c r="B14" s="245"/>
      <c r="C14" s="245"/>
      <c r="D14" s="245"/>
      <c r="E14" s="245"/>
      <c r="F14" s="245"/>
      <c r="G14" s="245"/>
      <c r="H14" s="245"/>
      <c r="I14" s="245"/>
      <c r="J14" s="245"/>
      <c r="K14" s="245"/>
      <c r="L14" s="245"/>
      <c r="M14" s="245"/>
      <c r="N14" s="245"/>
      <c r="O14" s="245"/>
      <c r="P14" s="245"/>
      <c r="Q14" s="245"/>
      <c r="R14" s="245"/>
      <c r="S14" s="245"/>
      <c r="T14" s="245"/>
      <c r="U14" s="245"/>
      <c r="V14" s="245"/>
      <c r="W14" s="245"/>
      <c r="X14" s="245"/>
      <c r="Y14" s="245"/>
      <c r="Z14" s="56"/>
      <c r="AA14" s="56"/>
      <c r="AB14" s="56"/>
      <c r="AC14" s="56"/>
    </row>
    <row r="15" spans="2:40" x14ac:dyDescent="0.35">
      <c r="B15" s="1301" t="s">
        <v>1744</v>
      </c>
      <c r="C15" s="1301"/>
      <c r="D15" s="1301"/>
      <c r="E15" s="1301"/>
      <c r="F15" s="1301"/>
      <c r="G15" s="1301"/>
      <c r="H15" s="1301"/>
      <c r="I15" s="1301"/>
      <c r="J15" s="1301"/>
      <c r="K15" s="1301"/>
      <c r="L15" s="1301"/>
      <c r="M15" s="1301"/>
      <c r="N15" s="1301"/>
      <c r="O15" s="1301"/>
      <c r="P15" s="1301"/>
      <c r="Q15" s="1301"/>
      <c r="R15" s="1301"/>
      <c r="S15" s="1301"/>
      <c r="T15" s="1301"/>
      <c r="U15" s="1301"/>
      <c r="V15" s="1301"/>
      <c r="W15" s="1301"/>
      <c r="X15" s="1301"/>
      <c r="Y15" s="1301"/>
      <c r="Z15" s="1301"/>
      <c r="AA15" s="1301"/>
      <c r="AB15" s="1301"/>
      <c r="AC15" s="1301"/>
      <c r="AD15" s="1301"/>
      <c r="AE15" s="1301"/>
      <c r="AF15" s="1301"/>
    </row>
    <row r="16" spans="2:40" x14ac:dyDescent="0.35">
      <c r="B16" s="1256" t="s">
        <v>1689</v>
      </c>
      <c r="C16" s="1384"/>
      <c r="D16" s="1276" t="s">
        <v>279</v>
      </c>
      <c r="E16" s="1277"/>
      <c r="F16" s="1277"/>
      <c r="G16" s="1277"/>
      <c r="H16" s="1277"/>
      <c r="I16" s="1277"/>
      <c r="J16" s="1277"/>
      <c r="K16" s="1277"/>
      <c r="L16" s="1277"/>
      <c r="M16" s="1277"/>
      <c r="N16" s="1277"/>
      <c r="O16" s="1277"/>
      <c r="P16" s="1277"/>
      <c r="Q16" s="1277"/>
      <c r="R16" s="1277"/>
      <c r="S16" s="1277"/>
      <c r="T16" s="1277"/>
      <c r="U16" s="1277"/>
      <c r="V16" s="1277"/>
      <c r="W16" s="1394" t="s">
        <v>280</v>
      </c>
      <c r="X16" s="1394"/>
      <c r="Y16" s="1394"/>
      <c r="Z16" s="1394"/>
      <c r="AA16" s="1394"/>
      <c r="AB16" s="1394"/>
      <c r="AC16" s="1394"/>
      <c r="AD16" s="1394"/>
      <c r="AE16" s="1394"/>
      <c r="AF16" s="1394"/>
      <c r="AG16" s="1395"/>
      <c r="AH16" s="624"/>
    </row>
    <row r="17" spans="2:35" x14ac:dyDescent="0.35">
      <c r="B17" s="1258"/>
      <c r="C17" s="1350"/>
      <c r="D17" s="221">
        <v>2018</v>
      </c>
      <c r="E17" s="1347">
        <v>2019</v>
      </c>
      <c r="F17" s="1348"/>
      <c r="G17" s="1348"/>
      <c r="H17" s="1389"/>
      <c r="I17" s="1347">
        <v>2020</v>
      </c>
      <c r="J17" s="1348"/>
      <c r="K17" s="1348"/>
      <c r="L17" s="1348"/>
      <c r="M17" s="1347">
        <v>2021</v>
      </c>
      <c r="N17" s="1348"/>
      <c r="O17" s="1348"/>
      <c r="P17" s="1348"/>
      <c r="Q17" s="1360">
        <v>2022</v>
      </c>
      <c r="R17" s="1396"/>
      <c r="S17" s="299"/>
      <c r="T17" s="306"/>
      <c r="U17" s="453"/>
      <c r="V17" s="299">
        <v>2023</v>
      </c>
      <c r="W17" s="625"/>
      <c r="X17" s="625"/>
      <c r="Y17" s="1270">
        <v>2024</v>
      </c>
      <c r="Z17" s="1352"/>
      <c r="AA17" s="1352"/>
      <c r="AB17" s="1272"/>
      <c r="AC17" s="1270">
        <v>2025</v>
      </c>
      <c r="AD17" s="1352"/>
      <c r="AE17" s="1352"/>
      <c r="AF17" s="1272"/>
      <c r="AG17" s="1270">
        <v>2026</v>
      </c>
      <c r="AH17" s="1272"/>
    </row>
    <row r="18" spans="2:35" x14ac:dyDescent="0.35">
      <c r="B18" s="1274"/>
      <c r="C18" s="1351"/>
      <c r="D18" s="221" t="s">
        <v>281</v>
      </c>
      <c r="E18" s="221" t="s">
        <v>282</v>
      </c>
      <c r="F18" s="222" t="s">
        <v>283</v>
      </c>
      <c r="G18" s="222" t="s">
        <v>238</v>
      </c>
      <c r="H18" s="228" t="s">
        <v>281</v>
      </c>
      <c r="I18" s="222" t="s">
        <v>282</v>
      </c>
      <c r="J18" s="222" t="s">
        <v>283</v>
      </c>
      <c r="K18" s="222" t="s">
        <v>238</v>
      </c>
      <c r="L18" s="222" t="s">
        <v>281</v>
      </c>
      <c r="M18" s="221" t="s">
        <v>282</v>
      </c>
      <c r="N18" s="222" t="s">
        <v>283</v>
      </c>
      <c r="O18" s="222" t="s">
        <v>238</v>
      </c>
      <c r="P18" s="222" t="s">
        <v>281</v>
      </c>
      <c r="Q18" s="282" t="s">
        <v>282</v>
      </c>
      <c r="R18" s="283" t="s">
        <v>283</v>
      </c>
      <c r="S18" s="283" t="s">
        <v>238</v>
      </c>
      <c r="T18" s="281" t="s">
        <v>281</v>
      </c>
      <c r="U18" s="282" t="s">
        <v>282</v>
      </c>
      <c r="V18" s="283" t="s">
        <v>283</v>
      </c>
      <c r="W18" s="269" t="s">
        <v>238</v>
      </c>
      <c r="X18" s="269" t="s">
        <v>281</v>
      </c>
      <c r="Y18" s="296" t="s">
        <v>282</v>
      </c>
      <c r="Z18" s="267" t="s">
        <v>283</v>
      </c>
      <c r="AA18" s="269" t="s">
        <v>238</v>
      </c>
      <c r="AB18" s="298" t="s">
        <v>281</v>
      </c>
      <c r="AC18" s="296" t="s">
        <v>282</v>
      </c>
      <c r="AD18" s="267" t="s">
        <v>283</v>
      </c>
      <c r="AE18" s="269" t="s">
        <v>238</v>
      </c>
      <c r="AF18" s="269" t="s">
        <v>281</v>
      </c>
      <c r="AG18" s="296" t="s">
        <v>282</v>
      </c>
      <c r="AH18" s="298" t="s">
        <v>283</v>
      </c>
    </row>
    <row r="19" spans="2:35" x14ac:dyDescent="0.35">
      <c r="B19" s="443" t="s">
        <v>1376</v>
      </c>
      <c r="C19" s="633"/>
      <c r="D19" s="634"/>
      <c r="E19" s="633"/>
      <c r="F19" s="633"/>
      <c r="G19" s="633"/>
      <c r="H19" s="633"/>
      <c r="I19" s="633"/>
      <c r="J19" s="635"/>
      <c r="K19" s="635"/>
      <c r="L19" s="635"/>
      <c r="M19" s="635"/>
      <c r="N19" s="635"/>
      <c r="O19" s="635"/>
      <c r="P19" s="635"/>
      <c r="Q19" s="635"/>
      <c r="R19" s="636">
        <v>0</v>
      </c>
      <c r="S19" s="630">
        <v>0</v>
      </c>
      <c r="T19" s="632">
        <v>0</v>
      </c>
      <c r="U19" s="632">
        <v>-7.7999999999999999E-4</v>
      </c>
      <c r="V19" s="632">
        <v>-7.7999999999999999E-4</v>
      </c>
      <c r="W19" s="632">
        <v>-7.7999999999999999E-4</v>
      </c>
      <c r="X19" s="632">
        <v>-7.7999999999999999E-4</v>
      </c>
      <c r="Y19" s="632">
        <v>-9.5E-4</v>
      </c>
      <c r="Z19" s="632">
        <v>-9.5E-4</v>
      </c>
      <c r="AA19" s="632">
        <v>-9.5E-4</v>
      </c>
      <c r="AB19" s="632">
        <v>-9.5E-4</v>
      </c>
      <c r="AC19" s="632">
        <v>-9.3999999999999997E-4</v>
      </c>
      <c r="AD19" s="632">
        <v>-9.3999999999999997E-4</v>
      </c>
      <c r="AE19" s="632">
        <v>-9.3999999999999997E-4</v>
      </c>
      <c r="AF19" s="632">
        <v>-9.3999999999999997E-4</v>
      </c>
      <c r="AG19" s="630">
        <v>-9.3999999999999997E-4</v>
      </c>
      <c r="AH19" s="630">
        <v>-9.3999999999999997E-4</v>
      </c>
    </row>
    <row r="20" spans="2:35" x14ac:dyDescent="0.35">
      <c r="B20" s="56" t="s">
        <v>1375</v>
      </c>
      <c r="C20" s="637"/>
      <c r="D20" s="638"/>
      <c r="E20" s="637"/>
      <c r="F20" s="637"/>
      <c r="G20" s="637"/>
      <c r="H20" s="637"/>
      <c r="I20" s="637"/>
      <c r="J20" s="639"/>
      <c r="K20" s="639"/>
      <c r="L20" s="639"/>
      <c r="M20" s="639"/>
      <c r="N20" s="639"/>
      <c r="O20" s="639"/>
      <c r="P20" s="639"/>
      <c r="Q20" s="639"/>
      <c r="R20" s="631"/>
      <c r="S20" s="631"/>
      <c r="T20" s="631"/>
      <c r="U20" s="631">
        <v>26095</v>
      </c>
      <c r="V20" s="631">
        <v>26404</v>
      </c>
      <c r="W20" s="631">
        <v>26686</v>
      </c>
      <c r="X20" s="631">
        <v>26931</v>
      </c>
      <c r="Y20" s="631">
        <v>27174</v>
      </c>
      <c r="Z20" s="631">
        <v>27411</v>
      </c>
      <c r="AA20" s="631">
        <v>27647</v>
      </c>
      <c r="AB20" s="631">
        <v>27893</v>
      </c>
      <c r="AC20" s="631">
        <v>28143</v>
      </c>
      <c r="AD20" s="631">
        <v>28400</v>
      </c>
      <c r="AE20" s="631">
        <v>28649</v>
      </c>
      <c r="AF20" s="631">
        <v>28910</v>
      </c>
      <c r="AG20" s="631">
        <v>28910</v>
      </c>
      <c r="AH20" s="631">
        <v>28910</v>
      </c>
    </row>
    <row r="21" spans="2:35" x14ac:dyDescent="0.35">
      <c r="B21" s="56" t="s">
        <v>311</v>
      </c>
      <c r="C21" s="640"/>
      <c r="D21" s="641"/>
      <c r="E21" s="640"/>
      <c r="F21" s="640"/>
      <c r="G21" s="640"/>
      <c r="H21" s="640"/>
      <c r="I21" s="640"/>
      <c r="J21" s="642"/>
      <c r="K21" s="642"/>
      <c r="L21" s="642"/>
      <c r="M21" s="642"/>
      <c r="N21" s="642"/>
      <c r="O21" s="642"/>
      <c r="P21" s="642"/>
      <c r="Q21" s="642"/>
      <c r="R21" s="643">
        <f>R19*R20</f>
        <v>0</v>
      </c>
      <c r="S21" s="643">
        <f t="shared" ref="S21:T21" si="2">S19*S20</f>
        <v>0</v>
      </c>
      <c r="T21" s="643">
        <f t="shared" si="2"/>
        <v>0</v>
      </c>
      <c r="U21" s="644">
        <f>U19*U20*-1</f>
        <v>20.354099999999999</v>
      </c>
      <c r="V21" s="644">
        <f t="shared" ref="V21:AF21" si="3">V19*V20*-1</f>
        <v>20.595119999999998</v>
      </c>
      <c r="W21" s="644">
        <f t="shared" si="3"/>
        <v>20.815079999999998</v>
      </c>
      <c r="X21" s="644">
        <f t="shared" si="3"/>
        <v>21.006180000000001</v>
      </c>
      <c r="Y21" s="644">
        <f t="shared" si="3"/>
        <v>25.815300000000001</v>
      </c>
      <c r="Z21" s="644">
        <f t="shared" si="3"/>
        <v>26.04045</v>
      </c>
      <c r="AA21" s="644">
        <f t="shared" si="3"/>
        <v>26.26465</v>
      </c>
      <c r="AB21" s="644">
        <f t="shared" si="3"/>
        <v>26.498349999999999</v>
      </c>
      <c r="AC21" s="644">
        <f t="shared" si="3"/>
        <v>26.454419999999999</v>
      </c>
      <c r="AD21" s="644">
        <f t="shared" si="3"/>
        <v>26.695999999999998</v>
      </c>
      <c r="AE21" s="644">
        <f t="shared" si="3"/>
        <v>26.930059999999997</v>
      </c>
      <c r="AF21" s="644">
        <f t="shared" si="3"/>
        <v>27.1754</v>
      </c>
      <c r="AG21" s="644">
        <f>AG19*AG20*-1</f>
        <v>27.1754</v>
      </c>
      <c r="AH21" s="644">
        <f>AH19*AH20*-1</f>
        <v>27.1754</v>
      </c>
    </row>
    <row r="24" spans="2:35" x14ac:dyDescent="0.35">
      <c r="C24" t="s">
        <v>1833</v>
      </c>
      <c r="F24" s="164" t="s">
        <v>1832</v>
      </c>
    </row>
    <row r="26" spans="2:35" x14ac:dyDescent="0.35">
      <c r="AE26">
        <v>600</v>
      </c>
      <c r="AF26">
        <v>14.27</v>
      </c>
      <c r="AG26">
        <v>14.27</v>
      </c>
      <c r="AH26">
        <v>14.27</v>
      </c>
      <c r="AI26">
        <v>14.27</v>
      </c>
    </row>
  </sheetData>
  <mergeCells count="24">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AC1"/>
    <mergeCell ref="B2:AC4"/>
    <mergeCell ref="B6:C8"/>
    <mergeCell ref="E7:H7"/>
    <mergeCell ref="I7:L7"/>
    <mergeCell ref="M7:P7"/>
    <mergeCell ref="Q7:R7"/>
    <mergeCell ref="D6:V6"/>
    <mergeCell ref="AC7:AF7"/>
    <mergeCell ref="W6:AG6"/>
    <mergeCell ref="AG7:AJ7"/>
  </mergeCells>
  <hyperlinks>
    <hyperlink ref="F24" r:id="rId1" xr:uid="{00000000-0004-0000-1300-000000000000}"/>
  </hyperlinks>
  <pageMargins left="0.7" right="0.7" top="0.75" bottom="0.75" header="0.3" footer="0.3"/>
  <pageSetup paperSize="9" orientation="portrait" horizontalDpi="300" verticalDpi="300" r:id="rId2"/>
  <drawing r:id="rId3"/>
  <legacyDrawing r:id="rId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3"/>
  <sheetViews>
    <sheetView zoomScale="81" zoomScaleNormal="85" workbookViewId="0">
      <pane xSplit="3" ySplit="10" topLeftCell="AE44" activePane="bottomRight" state="frozen"/>
      <selection pane="topRight" activeCell="D1" sqref="D1"/>
      <selection pane="bottomLeft" activeCell="A11" sqref="A11"/>
      <selection pane="bottomRight" activeCell="AM52" sqref="AM52"/>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97" t="s">
        <v>463</v>
      </c>
      <c r="C1" s="1397"/>
      <c r="D1" s="1397"/>
      <c r="E1" s="1397"/>
      <c r="F1" s="1397"/>
      <c r="G1" s="1397"/>
      <c r="H1" s="1397"/>
      <c r="I1" s="1397"/>
      <c r="J1" s="1397"/>
      <c r="K1" s="1397"/>
      <c r="L1" s="1397"/>
      <c r="M1" s="1397"/>
      <c r="N1" s="1397"/>
      <c r="O1" s="1397"/>
      <c r="P1" s="1397"/>
      <c r="Q1" s="1397"/>
      <c r="R1" s="1397"/>
      <c r="S1" s="1397"/>
      <c r="T1" s="1397"/>
      <c r="U1" s="1397"/>
      <c r="V1" s="1397"/>
      <c r="W1" s="1397"/>
      <c r="X1" s="1397"/>
      <c r="Y1" s="1397"/>
      <c r="Z1" s="1397"/>
      <c r="AA1" s="1397"/>
      <c r="AB1" s="1397"/>
      <c r="AC1" s="1397"/>
    </row>
    <row r="2" spans="2:40" ht="34.5" hidden="1" customHeight="1" outlineLevel="1" x14ac:dyDescent="0.35">
      <c r="B2" s="1346" t="s">
        <v>858</v>
      </c>
      <c r="C2" s="1363"/>
      <c r="D2" s="1363"/>
      <c r="E2" s="1363"/>
      <c r="F2" s="1363"/>
      <c r="G2" s="1363"/>
      <c r="H2" s="1363"/>
      <c r="I2" s="1363"/>
      <c r="J2" s="1363"/>
      <c r="K2" s="1363"/>
      <c r="L2" s="1363"/>
      <c r="M2" s="1363"/>
      <c r="N2" s="1363"/>
      <c r="O2" s="1363"/>
      <c r="P2" s="1363"/>
      <c r="Q2" s="1363"/>
      <c r="R2" s="1363"/>
      <c r="S2" s="1363"/>
      <c r="T2" s="1363"/>
      <c r="U2" s="1363"/>
      <c r="V2" s="1363"/>
      <c r="W2" s="1363"/>
      <c r="X2" s="1363"/>
      <c r="Y2" s="1363"/>
      <c r="Z2" s="1363"/>
      <c r="AA2" s="1363"/>
      <c r="AB2" s="1363"/>
      <c r="AC2" s="1363"/>
    </row>
    <row r="3" spans="2:40" ht="3" hidden="1" customHeight="1" outlineLevel="1" x14ac:dyDescent="0.35">
      <c r="B3" s="1363"/>
      <c r="C3" s="1363"/>
      <c r="D3" s="1363"/>
      <c r="E3" s="1363"/>
      <c r="F3" s="1363"/>
      <c r="G3" s="1363"/>
      <c r="H3" s="1363"/>
      <c r="I3" s="1363"/>
      <c r="J3" s="1363"/>
      <c r="K3" s="1363"/>
      <c r="L3" s="1363"/>
      <c r="M3" s="1363"/>
      <c r="N3" s="1363"/>
      <c r="O3" s="1363"/>
      <c r="P3" s="1363"/>
      <c r="Q3" s="1363"/>
      <c r="R3" s="1363"/>
      <c r="S3" s="1363"/>
      <c r="T3" s="1363"/>
      <c r="U3" s="1363"/>
      <c r="V3" s="1363"/>
      <c r="W3" s="1363"/>
      <c r="X3" s="1363"/>
      <c r="Y3" s="1363"/>
      <c r="Z3" s="1363"/>
      <c r="AA3" s="1363"/>
      <c r="AB3" s="1363"/>
      <c r="AC3" s="1363"/>
    </row>
    <row r="4" spans="2:40" ht="10.4" hidden="1" customHeight="1" outlineLevel="1" x14ac:dyDescent="0.35">
      <c r="B4" s="1363"/>
      <c r="C4" s="1363"/>
      <c r="D4" s="1363"/>
      <c r="E4" s="1363"/>
      <c r="F4" s="1363"/>
      <c r="G4" s="1363"/>
      <c r="H4" s="1363"/>
      <c r="I4" s="1363"/>
      <c r="J4" s="1363"/>
      <c r="K4" s="1363"/>
      <c r="L4" s="1363"/>
      <c r="M4" s="1363"/>
      <c r="N4" s="1363"/>
      <c r="O4" s="1363"/>
      <c r="P4" s="1363"/>
      <c r="Q4" s="1363"/>
      <c r="R4" s="1363"/>
      <c r="S4" s="1363"/>
      <c r="T4" s="1363"/>
      <c r="U4" s="1363"/>
      <c r="V4" s="1363"/>
      <c r="W4" s="1363"/>
      <c r="X4" s="1363"/>
      <c r="Y4" s="1363"/>
      <c r="Z4" s="1363"/>
      <c r="AA4" s="1363"/>
      <c r="AB4" s="1363"/>
      <c r="AC4" s="1363"/>
    </row>
    <row r="5" spans="2:40" ht="14.25" hidden="1" customHeight="1" outlineLevel="1" x14ac:dyDescent="0.35">
      <c r="B5" s="1363"/>
      <c r="C5" s="1363"/>
      <c r="D5" s="1363"/>
      <c r="E5" s="1363"/>
      <c r="F5" s="1363"/>
      <c r="G5" s="1363"/>
      <c r="H5" s="1363"/>
      <c r="I5" s="1363"/>
      <c r="J5" s="1363"/>
      <c r="K5" s="1363"/>
      <c r="L5" s="1363"/>
      <c r="M5" s="1363"/>
      <c r="N5" s="1363"/>
      <c r="O5" s="1363"/>
      <c r="P5" s="1363"/>
      <c r="Q5" s="1363"/>
      <c r="R5" s="1363"/>
      <c r="S5" s="1363"/>
      <c r="T5" s="1363"/>
      <c r="U5" s="1363"/>
      <c r="V5" s="1363"/>
      <c r="W5" s="1363"/>
      <c r="X5" s="1363"/>
      <c r="Y5" s="1363"/>
      <c r="Z5" s="1363"/>
      <c r="AA5" s="1363"/>
      <c r="AB5" s="1363"/>
      <c r="AC5" s="1363"/>
    </row>
    <row r="6" spans="2:40" ht="14.25" hidden="1" customHeight="1" outlineLevel="1" x14ac:dyDescent="0.35">
      <c r="B6" s="1363"/>
      <c r="C6" s="1363"/>
      <c r="D6" s="1363"/>
      <c r="E6" s="1363"/>
      <c r="F6" s="1363"/>
      <c r="G6" s="1363"/>
      <c r="H6" s="1363"/>
      <c r="I6" s="1363"/>
      <c r="J6" s="1363"/>
      <c r="K6" s="1363"/>
      <c r="L6" s="1363"/>
      <c r="M6" s="1363"/>
      <c r="N6" s="1363"/>
      <c r="O6" s="1363"/>
      <c r="P6" s="1363"/>
      <c r="Q6" s="1363"/>
      <c r="R6" s="1363"/>
      <c r="S6" s="1363"/>
      <c r="T6" s="1363"/>
      <c r="U6" s="1363"/>
      <c r="V6" s="1363"/>
      <c r="W6" s="1363"/>
      <c r="X6" s="1363"/>
      <c r="Y6" s="1363"/>
      <c r="Z6" s="1363"/>
      <c r="AA6" s="1363"/>
      <c r="AB6" s="1363"/>
      <c r="AC6" s="1363"/>
    </row>
    <row r="7" spans="2:40" collapsed="1" x14ac:dyDescent="0.35">
      <c r="B7" s="706" t="s">
        <v>332</v>
      </c>
      <c r="C7" s="265"/>
      <c r="D7" s="265"/>
      <c r="E7" s="265"/>
      <c r="F7" s="265"/>
      <c r="G7" s="265"/>
      <c r="H7" s="266"/>
      <c r="I7" s="266"/>
      <c r="J7" s="266"/>
      <c r="K7" s="266"/>
      <c r="L7" s="266"/>
      <c r="M7" s="266"/>
      <c r="N7" s="266"/>
      <c r="O7" s="266"/>
      <c r="P7" s="266"/>
      <c r="Q7" s="266"/>
      <c r="R7" s="266"/>
      <c r="S7" s="266"/>
      <c r="T7" s="266"/>
      <c r="U7" s="266"/>
    </row>
    <row r="8" spans="2:40" ht="14.9" customHeight="1" x14ac:dyDescent="0.35">
      <c r="B8" s="678" t="s">
        <v>303</v>
      </c>
      <c r="C8" s="679"/>
      <c r="D8" s="1276" t="s">
        <v>279</v>
      </c>
      <c r="E8" s="1277"/>
      <c r="F8" s="1277"/>
      <c r="G8" s="1277"/>
      <c r="H8" s="1277"/>
      <c r="I8" s="1277"/>
      <c r="J8" s="1277"/>
      <c r="K8" s="1277"/>
      <c r="L8" s="1277"/>
      <c r="M8" s="1277"/>
      <c r="N8" s="1277"/>
      <c r="O8" s="1277"/>
      <c r="P8" s="1277"/>
      <c r="Q8" s="1277"/>
      <c r="R8" s="1277"/>
      <c r="S8" s="1277"/>
      <c r="T8" s="1277"/>
      <c r="U8" s="1277"/>
      <c r="V8" s="1277"/>
      <c r="W8" s="1277"/>
      <c r="X8" s="1277"/>
      <c r="Y8" s="1277"/>
      <c r="Z8" s="1277"/>
      <c r="AA8" s="1277"/>
      <c r="AB8" s="1278"/>
      <c r="AC8" s="1261" t="s">
        <v>280</v>
      </c>
      <c r="AD8" s="1262"/>
      <c r="AE8" s="1262"/>
      <c r="AF8" s="1262"/>
      <c r="AG8" s="1262"/>
      <c r="AH8" s="1262"/>
      <c r="AI8" s="1262"/>
      <c r="AJ8" s="1262"/>
      <c r="AK8" s="1262"/>
      <c r="AL8" s="1262"/>
      <c r="AM8" s="1262"/>
      <c r="AN8" s="1263"/>
    </row>
    <row r="9" spans="2:40" ht="14.9" customHeight="1" x14ac:dyDescent="0.35">
      <c r="B9" s="680"/>
      <c r="C9" s="681"/>
      <c r="D9" s="293">
        <v>2018</v>
      </c>
      <c r="E9" s="1264">
        <v>2019</v>
      </c>
      <c r="F9" s="1359"/>
      <c r="G9" s="1359"/>
      <c r="H9" s="1266"/>
      <c r="I9" s="1264">
        <v>2020</v>
      </c>
      <c r="J9" s="1359"/>
      <c r="K9" s="1359"/>
      <c r="L9" s="1359"/>
      <c r="M9" s="1264">
        <v>2021</v>
      </c>
      <c r="N9" s="1359"/>
      <c r="O9" s="1359"/>
      <c r="P9" s="1359"/>
      <c r="Q9" s="1264">
        <v>2022</v>
      </c>
      <c r="R9" s="1265"/>
      <c r="S9" s="1265"/>
      <c r="T9" s="1266"/>
      <c r="U9" s="1264">
        <v>2023</v>
      </c>
      <c r="V9" s="1265"/>
      <c r="W9" s="1265"/>
      <c r="X9" s="1266"/>
      <c r="Y9" s="71"/>
      <c r="Z9" s="299">
        <v>2024</v>
      </c>
      <c r="AA9" s="439"/>
      <c r="AB9" s="306"/>
      <c r="AC9" s="1270">
        <v>2025</v>
      </c>
      <c r="AD9" s="1352"/>
      <c r="AE9" s="1352"/>
      <c r="AF9" s="1271"/>
      <c r="AG9" s="1270">
        <v>2026</v>
      </c>
      <c r="AH9" s="1352"/>
      <c r="AI9" s="1352"/>
      <c r="AJ9" s="1272"/>
      <c r="AK9" s="1270">
        <v>2027</v>
      </c>
      <c r="AL9" s="1352"/>
      <c r="AM9" s="1352"/>
      <c r="AN9" s="1272"/>
    </row>
    <row r="10" spans="2:40" x14ac:dyDescent="0.35">
      <c r="B10" s="680"/>
      <c r="C10" s="681"/>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8" t="s">
        <v>281</v>
      </c>
      <c r="U10" s="222" t="s">
        <v>282</v>
      </c>
      <c r="V10" s="283" t="s">
        <v>283</v>
      </c>
      <c r="W10" s="283" t="s">
        <v>238</v>
      </c>
      <c r="X10" s="281" t="s">
        <v>281</v>
      </c>
      <c r="Y10" s="282" t="s">
        <v>282</v>
      </c>
      <c r="Z10" s="288" t="s">
        <v>283</v>
      </c>
      <c r="AA10" s="283" t="s">
        <v>238</v>
      </c>
      <c r="AB10" s="283" t="s">
        <v>281</v>
      </c>
      <c r="AC10" s="221" t="s">
        <v>282</v>
      </c>
      <c r="AD10" s="267" t="s">
        <v>283</v>
      </c>
      <c r="AE10" s="269" t="s">
        <v>238</v>
      </c>
      <c r="AF10" s="269" t="s">
        <v>281</v>
      </c>
      <c r="AG10" s="296" t="s">
        <v>282</v>
      </c>
      <c r="AH10" s="267" t="s">
        <v>283</v>
      </c>
      <c r="AI10" s="269" t="s">
        <v>238</v>
      </c>
      <c r="AJ10" s="298" t="s">
        <v>281</v>
      </c>
      <c r="AK10" s="296" t="s">
        <v>282</v>
      </c>
      <c r="AL10" s="267" t="s">
        <v>283</v>
      </c>
      <c r="AM10" s="269" t="s">
        <v>238</v>
      </c>
      <c r="AN10" s="298" t="s">
        <v>281</v>
      </c>
    </row>
    <row r="11" spans="2:40" x14ac:dyDescent="0.35">
      <c r="B11" s="1398" t="s">
        <v>464</v>
      </c>
      <c r="C11" s="1399"/>
      <c r="D11" s="651"/>
      <c r="E11" s="703"/>
      <c r="F11" s="703"/>
      <c r="G11" s="703"/>
      <c r="H11" s="317"/>
      <c r="I11" s="317"/>
      <c r="J11" s="317"/>
      <c r="K11" s="317"/>
      <c r="L11" s="317"/>
      <c r="M11" s="571"/>
      <c r="N11" s="571"/>
      <c r="O11" s="571"/>
      <c r="P11" s="317"/>
      <c r="Q11" s="317"/>
      <c r="R11" s="317"/>
      <c r="S11" s="317"/>
      <c r="T11" s="284"/>
      <c r="U11" s="317"/>
      <c r="V11" s="317"/>
      <c r="W11" s="223"/>
      <c r="X11" s="223"/>
      <c r="Y11" s="223"/>
      <c r="Z11" s="223"/>
      <c r="AA11" s="223"/>
      <c r="AB11" s="223"/>
      <c r="AC11" s="223"/>
      <c r="AD11" s="223"/>
      <c r="AE11" s="223"/>
      <c r="AF11" s="223"/>
      <c r="AG11" s="223"/>
      <c r="AH11" s="223"/>
      <c r="AI11" s="223"/>
      <c r="AJ11" s="223"/>
      <c r="AK11" s="223"/>
      <c r="AL11" s="223"/>
      <c r="AM11" s="223"/>
      <c r="AN11" s="223"/>
    </row>
    <row r="12" spans="2:40" ht="17.149999999999999" customHeight="1" x14ac:dyDescent="0.35">
      <c r="B12" s="668" t="s">
        <v>465</v>
      </c>
      <c r="C12" s="245" t="s">
        <v>466</v>
      </c>
      <c r="D12" s="588">
        <f>'Haver Pivoted'!GO31</f>
        <v>2223</v>
      </c>
      <c r="E12" s="503">
        <f>'Haver Pivoted'!GP31</f>
        <v>2303.8000000000002</v>
      </c>
      <c r="F12" s="503">
        <f>'Haver Pivoted'!GQ31</f>
        <v>2321.6999999999998</v>
      </c>
      <c r="G12" s="503">
        <f>'Haver Pivoted'!GR31</f>
        <v>2337.1</v>
      </c>
      <c r="H12" s="503">
        <f>'Haver Pivoted'!GS31</f>
        <v>2349.5</v>
      </c>
      <c r="I12" s="503">
        <f>'Haver Pivoted'!GT31</f>
        <v>2414.4</v>
      </c>
      <c r="J12" s="503">
        <f>'Haver Pivoted'!GU31</f>
        <v>4654.1000000000004</v>
      </c>
      <c r="K12" s="503">
        <f>'Haver Pivoted'!GV31</f>
        <v>3504.7</v>
      </c>
      <c r="L12" s="503">
        <f>'Haver Pivoted'!GW31</f>
        <v>2888.4</v>
      </c>
      <c r="M12" s="503">
        <f>'Haver Pivoted'!GX31</f>
        <v>5138.1000000000004</v>
      </c>
      <c r="N12" s="503">
        <f>'Haver Pivoted'!GY31</f>
        <v>3397.8</v>
      </c>
      <c r="O12" s="503">
        <f>'Haver Pivoted'!GZ31</f>
        <v>3124.9</v>
      </c>
      <c r="P12" s="503">
        <f>'Haver Pivoted'!HA31</f>
        <v>2952.6</v>
      </c>
      <c r="Q12" s="503">
        <f>'Haver Pivoted'!HB31</f>
        <v>2970.9</v>
      </c>
      <c r="R12" s="503">
        <f>'Haver Pivoted'!HC31</f>
        <v>2976.2</v>
      </c>
      <c r="S12" s="563">
        <f>'Haver Pivoted'!HD31</f>
        <v>2970.4</v>
      </c>
      <c r="T12" s="563">
        <f>'Haver Pivoted'!HE31</f>
        <v>3024.4</v>
      </c>
      <c r="U12" s="563">
        <f>'Haver Pivoted'!HF31</f>
        <v>3038.4</v>
      </c>
      <c r="V12" s="563">
        <f>'Haver Pivoted'!HG31</f>
        <v>3049.1</v>
      </c>
      <c r="W12" s="563">
        <f>'Haver Pivoted'!HH31</f>
        <v>3078</v>
      </c>
      <c r="X12" s="563">
        <f>'Haver Pivoted'!HI31</f>
        <v>3095.6</v>
      </c>
      <c r="Y12" s="563">
        <f>'Haver Pivoted'!HJ31</f>
        <v>3201.1</v>
      </c>
      <c r="Z12" s="563">
        <f>'Haver Pivoted'!HK31</f>
        <v>3243.1</v>
      </c>
      <c r="AA12" s="563">
        <f>'Haver Pivoted'!HL31</f>
        <v>3283.8</v>
      </c>
      <c r="AB12" s="563">
        <f>'Haver Pivoted'!HM31</f>
        <v>3328.6</v>
      </c>
      <c r="AC12" s="563">
        <f>'Haver Pivoted'!HN31</f>
        <v>3452.4</v>
      </c>
      <c r="AD12" s="656">
        <f t="shared" ref="AD12:AJ12" si="0">SUM(AD14:AD31)-AD30</f>
        <v>3471.6821604763954</v>
      </c>
      <c r="AE12" s="656">
        <f t="shared" si="0"/>
        <v>3493.4089053306125</v>
      </c>
      <c r="AF12" s="656">
        <f t="shared" si="0"/>
        <v>3508.1897157717831</v>
      </c>
      <c r="AG12" s="656">
        <f t="shared" si="0"/>
        <v>3569.4363329126127</v>
      </c>
      <c r="AH12" s="656">
        <f t="shared" si="0"/>
        <v>3594.5583806266241</v>
      </c>
      <c r="AI12" s="656">
        <f t="shared" si="0"/>
        <v>3620.9561142232869</v>
      </c>
      <c r="AJ12" s="656">
        <f t="shared" si="0"/>
        <v>3639.6423604310758</v>
      </c>
      <c r="AK12" s="656">
        <f t="shared" ref="AK12:AN12" si="1">SUM(AK14:AK31)-AK30</f>
        <v>3708.6443951253282</v>
      </c>
      <c r="AL12" s="656">
        <f t="shared" si="1"/>
        <v>3737.0678415181583</v>
      </c>
      <c r="AM12" s="656">
        <f t="shared" si="1"/>
        <v>3765.7889952942123</v>
      </c>
      <c r="AN12" s="656">
        <f t="shared" si="1"/>
        <v>3752.8439952942117</v>
      </c>
    </row>
    <row r="13" spans="2:40" x14ac:dyDescent="0.35">
      <c r="B13" s="287"/>
      <c r="C13" s="245"/>
      <c r="D13" s="588"/>
      <c r="E13" s="503"/>
      <c r="F13" s="503"/>
      <c r="G13" s="503"/>
      <c r="H13" s="503"/>
      <c r="I13" s="503"/>
      <c r="J13" s="503"/>
      <c r="K13" s="503"/>
      <c r="L13" s="503"/>
      <c r="M13" s="503"/>
      <c r="N13" s="503"/>
      <c r="O13" s="503"/>
      <c r="P13" s="245"/>
      <c r="Q13" s="229"/>
      <c r="R13" s="229"/>
      <c r="S13" s="229"/>
      <c r="T13" s="229"/>
      <c r="U13" s="229"/>
      <c r="V13" s="229"/>
      <c r="W13" s="229"/>
      <c r="X13" s="326"/>
      <c r="Y13" s="326"/>
      <c r="Z13" s="326"/>
      <c r="AA13" s="326"/>
      <c r="AB13" s="326"/>
      <c r="AC13" s="326"/>
      <c r="AD13" s="326"/>
      <c r="AE13" s="326"/>
      <c r="AF13" s="326"/>
      <c r="AG13" s="326"/>
      <c r="AH13" s="326"/>
      <c r="AI13" s="326"/>
      <c r="AJ13" s="326"/>
      <c r="AK13" s="326"/>
      <c r="AL13" s="326"/>
      <c r="AM13" s="326"/>
      <c r="AN13" s="326"/>
    </row>
    <row r="14" spans="2:40" x14ac:dyDescent="0.35">
      <c r="B14" s="664" t="s">
        <v>1834</v>
      </c>
      <c r="C14" s="245"/>
      <c r="D14" s="588">
        <f>'Unemployment Insurance'!D21+'Unemployment Insurance'!D20</f>
        <v>27.1</v>
      </c>
      <c r="E14" s="503">
        <f>'Unemployment Insurance'!E21+'Unemployment Insurance'!E20</f>
        <v>29.6</v>
      </c>
      <c r="F14" s="503">
        <f>'Unemployment Insurance'!F21+'Unemployment Insurance'!F20</f>
        <v>27.3</v>
      </c>
      <c r="G14" s="503">
        <f>'Unemployment Insurance'!G21+'Unemployment Insurance'!G20</f>
        <v>26.4</v>
      </c>
      <c r="H14" s="503">
        <f>'Unemployment Insurance'!H21+'Unemployment Insurance'!H20</f>
        <v>26.7</v>
      </c>
      <c r="I14" s="503">
        <f>'Unemployment Insurance'!I21+'Unemployment Insurance'!I20</f>
        <v>40.1</v>
      </c>
      <c r="J14" s="503">
        <f>'Unemployment Insurance'!J21+'Unemployment Insurance'!J20</f>
        <v>951.5</v>
      </c>
      <c r="K14" s="503">
        <f>'Unemployment Insurance'!K21+'Unemployment Insurance'!K20</f>
        <v>800</v>
      </c>
      <c r="L14" s="503">
        <f>'Unemployment Insurance'!L21+'Unemployment Insurance'!L20</f>
        <v>322.7</v>
      </c>
      <c r="M14" s="503">
        <f>'Unemployment Insurance'!M21+'Unemployment Insurance'!M20</f>
        <v>583.79999999999995</v>
      </c>
      <c r="N14" s="503">
        <f>'Unemployment Insurance'!N21+'Unemployment Insurance'!N20</f>
        <v>440.8</v>
      </c>
      <c r="O14" s="503">
        <f>'Unemployment Insurance'!O21+'Unemployment Insurance'!O20</f>
        <v>212.8</v>
      </c>
      <c r="P14" s="503">
        <f>'Unemployment Insurance'!P21+'Unemployment Insurance'!P20</f>
        <v>31.8</v>
      </c>
      <c r="Q14" s="503">
        <f>'Unemployment Insurance'!Q21+'Unemployment Insurance'!Q20</f>
        <v>24.5</v>
      </c>
      <c r="R14" s="503">
        <f>'Unemployment Insurance'!R21+'Unemployment Insurance'!R20</f>
        <v>21.7</v>
      </c>
      <c r="S14" s="503">
        <f>'Unemployment Insurance'!S21+'Unemployment Insurance'!S20</f>
        <v>23.1</v>
      </c>
      <c r="T14" s="503">
        <f>'Unemployment Insurance'!T21+'Unemployment Insurance'!T20</f>
        <v>25.9</v>
      </c>
      <c r="U14" s="503">
        <f>'Unemployment Insurance'!U21+'Unemployment Insurance'!U20</f>
        <v>30.1</v>
      </c>
      <c r="V14" s="563">
        <f t="shared" ref="V14:AA14" si="2">V15+V16</f>
        <v>30.960000000000004</v>
      </c>
      <c r="W14" s="563">
        <f t="shared" si="2"/>
        <v>30.960000000000004</v>
      </c>
      <c r="X14" s="563">
        <f t="shared" si="2"/>
        <v>35.299999999999997</v>
      </c>
      <c r="Y14" s="563">
        <f t="shared" si="2"/>
        <v>34.9</v>
      </c>
      <c r="Z14" s="563">
        <f t="shared" si="2"/>
        <v>34.9</v>
      </c>
      <c r="AA14" s="563">
        <f t="shared" si="2"/>
        <v>35.700000000000003</v>
      </c>
      <c r="AB14" s="563">
        <f t="shared" ref="AB14:AC14" si="3">AB15+AB16</f>
        <v>36.1</v>
      </c>
      <c r="AC14" s="563">
        <f t="shared" si="3"/>
        <v>35.799999999999997</v>
      </c>
      <c r="AD14" s="656">
        <f>'Unemployment Insurance'!AD21+'Unemployment Insurance'!AD20</f>
        <v>35.700000000000003</v>
      </c>
      <c r="AE14" s="656">
        <f>'Unemployment Insurance'!AE21+'Unemployment Insurance'!AE20</f>
        <v>35.700000000000003</v>
      </c>
      <c r="AF14" s="656">
        <f>'Unemployment Insurance'!AF21+'Unemployment Insurance'!AF20</f>
        <v>35.700000000000003</v>
      </c>
      <c r="AG14" s="656">
        <f>'Unemployment Insurance'!AG21+'Unemployment Insurance'!AG20</f>
        <v>35.700000000000003</v>
      </c>
      <c r="AH14" s="656">
        <f>'Unemployment Insurance'!AH21+'Unemployment Insurance'!AH20</f>
        <v>35.700000000000003</v>
      </c>
      <c r="AI14" s="656">
        <f>'Unemployment Insurance'!AI21+'Unemployment Insurance'!AI20</f>
        <v>35.700000000000003</v>
      </c>
      <c r="AJ14" s="656">
        <f>'Unemployment Insurance'!AJ21+'Unemployment Insurance'!AJ20</f>
        <v>35.700000000000003</v>
      </c>
      <c r="AK14" s="656">
        <f>'Unemployment Insurance'!AK21+'Unemployment Insurance'!AK20</f>
        <v>36.700000000000003</v>
      </c>
      <c r="AL14" s="656">
        <f>'Unemployment Insurance'!AL21+'Unemployment Insurance'!AL20</f>
        <v>37.700000000000003</v>
      </c>
      <c r="AM14" s="656">
        <f>'Unemployment Insurance'!AM21+'Unemployment Insurance'!AM20</f>
        <v>38.700000000000003</v>
      </c>
      <c r="AN14" s="656">
        <f>'Unemployment Insurance'!AN21+'Unemployment Insurance'!AN20</f>
        <v>39.700000000000003</v>
      </c>
    </row>
    <row r="15" spans="2:40" x14ac:dyDescent="0.35">
      <c r="B15" s="421" t="s">
        <v>203</v>
      </c>
      <c r="C15" s="245"/>
      <c r="D15" s="588"/>
      <c r="E15" s="503"/>
      <c r="F15" s="503"/>
      <c r="G15" s="503"/>
      <c r="H15" s="503"/>
      <c r="I15" s="503"/>
      <c r="J15" s="503"/>
      <c r="K15" s="503"/>
      <c r="L15" s="503"/>
      <c r="M15" s="503"/>
      <c r="N15" s="503"/>
      <c r="O15" s="503"/>
      <c r="P15" s="503"/>
      <c r="Q15" s="503"/>
      <c r="R15" s="503"/>
      <c r="S15" s="503"/>
      <c r="T15" s="503"/>
      <c r="U15" s="503"/>
      <c r="V15" s="563">
        <f>'Unemployment Insurance'!V20</f>
        <v>0</v>
      </c>
      <c r="W15" s="563">
        <f>'Unemployment Insurance'!W20</f>
        <v>0</v>
      </c>
      <c r="X15" s="563">
        <f>'Unemployment Insurance'!X20</f>
        <v>4.632399999999997</v>
      </c>
      <c r="Y15" s="563">
        <f>'Unemployment Insurance'!Y20</f>
        <v>3.0799999999999947</v>
      </c>
      <c r="Z15" s="563">
        <f>'Unemployment Insurance'!Z20</f>
        <v>0</v>
      </c>
      <c r="AA15" s="563">
        <f>'Unemployment Insurance'!AA20</f>
        <v>0</v>
      </c>
      <c r="AB15" s="563">
        <f>'Unemployment Insurance'!AB20</f>
        <v>0.39999999999999858</v>
      </c>
      <c r="AC15" s="563">
        <f>'Unemployment Insurance'!AC20</f>
        <v>9.9999999999994316E-2</v>
      </c>
      <c r="AD15" s="656"/>
      <c r="AE15" s="656"/>
      <c r="AF15" s="656"/>
      <c r="AG15" s="656"/>
      <c r="AH15" s="656"/>
      <c r="AI15" s="656"/>
      <c r="AJ15" s="656"/>
      <c r="AK15" s="656"/>
      <c r="AL15" s="656"/>
      <c r="AM15" s="656"/>
      <c r="AN15" s="656"/>
    </row>
    <row r="16" spans="2:40" x14ac:dyDescent="0.35">
      <c r="B16" s="421" t="s">
        <v>205</v>
      </c>
      <c r="C16" s="245"/>
      <c r="D16" s="588"/>
      <c r="E16" s="503"/>
      <c r="F16" s="503"/>
      <c r="G16" s="503"/>
      <c r="H16" s="503"/>
      <c r="I16" s="503"/>
      <c r="J16" s="503"/>
      <c r="K16" s="503"/>
      <c r="L16" s="503"/>
      <c r="M16" s="503"/>
      <c r="N16" s="503"/>
      <c r="O16" s="503"/>
      <c r="P16" s="503"/>
      <c r="Q16" s="503"/>
      <c r="R16" s="503"/>
      <c r="S16" s="503"/>
      <c r="T16" s="503"/>
      <c r="U16" s="503"/>
      <c r="V16" s="563">
        <f>'Unemployment Insurance'!V21</f>
        <v>30.960000000000004</v>
      </c>
      <c r="W16" s="563">
        <f>'Unemployment Insurance'!W21</f>
        <v>30.960000000000004</v>
      </c>
      <c r="X16" s="563">
        <f>'Unemployment Insurance'!X21</f>
        <v>30.6676</v>
      </c>
      <c r="Y16" s="563">
        <f>'Unemployment Insurance'!Y21</f>
        <v>31.820000000000004</v>
      </c>
      <c r="Z16" s="563">
        <f>'Unemployment Insurance'!Z21</f>
        <v>34.9</v>
      </c>
      <c r="AA16" s="563">
        <f>'Unemployment Insurance'!AA21</f>
        <v>35.700000000000003</v>
      </c>
      <c r="AB16" s="563">
        <f>'Unemployment Insurance'!AB21</f>
        <v>35.700000000000003</v>
      </c>
      <c r="AC16" s="563">
        <f>'Unemployment Insurance'!AC21</f>
        <v>35.700000000000003</v>
      </c>
      <c r="AD16" s="656"/>
      <c r="AE16" s="656"/>
      <c r="AF16" s="656"/>
      <c r="AG16" s="656"/>
      <c r="AH16" s="656"/>
      <c r="AI16" s="656"/>
      <c r="AJ16" s="656"/>
      <c r="AK16" s="656"/>
      <c r="AL16" s="656"/>
      <c r="AM16" s="656"/>
      <c r="AN16" s="656"/>
    </row>
    <row r="17" spans="2:102" ht="17.899999999999999" customHeight="1" x14ac:dyDescent="0.35">
      <c r="B17" s="664" t="s">
        <v>55</v>
      </c>
      <c r="C17" s="245"/>
      <c r="D17" s="588">
        <f>Medicare!D10</f>
        <v>755</v>
      </c>
      <c r="E17" s="503">
        <f>Medicare!E10</f>
        <v>773.5</v>
      </c>
      <c r="F17" s="503">
        <f>Medicare!F10</f>
        <v>788.5</v>
      </c>
      <c r="G17" s="503">
        <f>Medicare!G10</f>
        <v>798</v>
      </c>
      <c r="H17" s="503">
        <f>Medicare!H10</f>
        <v>802</v>
      </c>
      <c r="I17" s="503">
        <f>Medicare!I10</f>
        <v>801.9</v>
      </c>
      <c r="J17" s="503">
        <f>Medicare!J10</f>
        <v>814.3</v>
      </c>
      <c r="K17" s="503">
        <f>Medicare!K10</f>
        <v>826.6</v>
      </c>
      <c r="L17" s="503">
        <f>Medicare!L10</f>
        <v>838.8</v>
      </c>
      <c r="M17" s="503">
        <f>Medicare!M10</f>
        <v>854.9</v>
      </c>
      <c r="N17" s="503">
        <f>Medicare!N10</f>
        <v>871.2</v>
      </c>
      <c r="O17" s="503">
        <f>Medicare!O10</f>
        <v>887.1</v>
      </c>
      <c r="P17" s="503">
        <f>Medicare!P10</f>
        <v>902.4</v>
      </c>
      <c r="Q17" s="503">
        <f>Medicare!Q10</f>
        <v>917.6</v>
      </c>
      <c r="R17" s="503">
        <f>Medicare!R10</f>
        <v>926.6</v>
      </c>
      <c r="S17" s="503">
        <f>Medicare!S10</f>
        <v>937.4</v>
      </c>
      <c r="T17" s="503">
        <f>Medicare!T10</f>
        <v>958.5</v>
      </c>
      <c r="U17" s="503">
        <f>Medicare!U10</f>
        <v>981.1</v>
      </c>
      <c r="V17" s="503">
        <f>Medicare!V10</f>
        <v>1001.8</v>
      </c>
      <c r="W17" s="503">
        <f>Medicare!W10</f>
        <v>1019.9</v>
      </c>
      <c r="X17" s="656">
        <f>Medicare!X10</f>
        <v>1035.3</v>
      </c>
      <c r="Y17" s="656">
        <f>Medicare!Y10</f>
        <v>1049.2</v>
      </c>
      <c r="Z17" s="656">
        <f>Medicare!Z10</f>
        <v>1067.0999999999999</v>
      </c>
      <c r="AA17" s="656">
        <f>Medicare!AA10</f>
        <v>1090.2</v>
      </c>
      <c r="AB17" s="656">
        <f>Medicare!AB10</f>
        <v>1118.5</v>
      </c>
      <c r="AC17" s="656">
        <f>Medicare!AC10</f>
        <v>1150.3</v>
      </c>
      <c r="AD17" s="656">
        <f>Medicare!AD10</f>
        <v>1179.9491604763948</v>
      </c>
      <c r="AE17" s="656">
        <f>Medicare!AE10</f>
        <v>1194.9759053306122</v>
      </c>
      <c r="AF17" s="656">
        <f>Medicare!AF10</f>
        <v>1212.8587157717825</v>
      </c>
      <c r="AG17" s="656">
        <f>Medicare!AG10</f>
        <v>1231.0091424116126</v>
      </c>
      <c r="AH17" s="656">
        <f>Medicare!AH10</f>
        <v>1249.431190125624</v>
      </c>
      <c r="AI17" s="656">
        <f>Medicare!AI10</f>
        <v>1268.1289237222863</v>
      </c>
      <c r="AJ17" s="656">
        <f>Medicare!AJ10</f>
        <v>1287.2701699300753</v>
      </c>
      <c r="AK17" s="656">
        <f>Medicare!AK10</f>
        <v>1306.7003357418046</v>
      </c>
      <c r="AL17" s="656">
        <f>Medicare!AL10</f>
        <v>1326.4237821346351</v>
      </c>
      <c r="AM17" s="656">
        <f>Medicare!AM10</f>
        <v>1346.4449359106889</v>
      </c>
      <c r="AN17" s="656">
        <f>Medicare!AN10</f>
        <v>1346.4449359106889</v>
      </c>
    </row>
    <row r="18" spans="2:102" ht="18" customHeight="1" x14ac:dyDescent="0.35">
      <c r="B18" s="665" t="s">
        <v>467</v>
      </c>
      <c r="C18" s="245"/>
      <c r="D18" s="272"/>
      <c r="E18" s="229"/>
      <c r="F18" s="229"/>
      <c r="G18" s="229"/>
      <c r="H18" s="503">
        <f>'Rebate Checks (expired)'!H10 +'Rebate Checks (expired)'!H11</f>
        <v>0</v>
      </c>
      <c r="I18" s="503">
        <f>'Rebate Checks (expired)'!I10 +'Rebate Checks (expired)'!I11</f>
        <v>0</v>
      </c>
      <c r="J18" s="503">
        <f>'Rebate Checks (expired)'!J10 +'Rebate Checks (expired)'!J11</f>
        <v>1078.0999999999999</v>
      </c>
      <c r="K18" s="503">
        <f>'Rebate Checks (expired)'!K10 +'Rebate Checks (expired)'!K11</f>
        <v>15.6</v>
      </c>
      <c r="L18" s="503">
        <f>'Rebate Checks (expired)'!L10 +'Rebate Checks (expired)'!L11</f>
        <v>5</v>
      </c>
      <c r="M18" s="503">
        <f>'Rebate Checks (expired)'!M10 +'Rebate Checks (expired)'!M11</f>
        <v>1933.6999999999998</v>
      </c>
      <c r="N18" s="503">
        <f>'Rebate Checks (expired)'!N10 +'Rebate Checks (expired)'!N11</f>
        <v>290.10000000000002</v>
      </c>
      <c r="O18" s="503">
        <f>'Rebate Checks (expired)'!O10 +'Rebate Checks (expired)'!O11</f>
        <v>38.9</v>
      </c>
      <c r="P18" s="503">
        <f>'Rebate Checks (expired)'!P10 +'Rebate Checks (expired)'!P11</f>
        <v>14.2</v>
      </c>
      <c r="Q18" s="503">
        <f>'Rebate Checks (expired)'!Q10 +'Rebate Checks (expired)'!Q11</f>
        <v>0</v>
      </c>
      <c r="R18" s="503">
        <f>'Rebate Checks (expired)'!Q10 +'Rebate Checks (expired)'!R11</f>
        <v>0</v>
      </c>
      <c r="S18" s="503">
        <f>'Rebate Checks (expired)'!S10 +'Rebate Checks (expired)'!S11</f>
        <v>0</v>
      </c>
      <c r="T18" s="503">
        <f>'Rebate Checks (expired)'!T10 +'Rebate Checks (expired)'!T11</f>
        <v>0</v>
      </c>
      <c r="U18" s="503">
        <f>'Rebate Checks (expired)'!U10 +'Rebate Checks (expired)'!U11</f>
        <v>0</v>
      </c>
      <c r="V18" s="563">
        <f t="shared" ref="V18:AA18" si="4">V19+V20</f>
        <v>0</v>
      </c>
      <c r="W18" s="563">
        <f t="shared" si="4"/>
        <v>0</v>
      </c>
      <c r="X18" s="563">
        <f t="shared" si="4"/>
        <v>0</v>
      </c>
      <c r="Y18" s="563">
        <f t="shared" si="4"/>
        <v>0</v>
      </c>
      <c r="Z18" s="563">
        <f t="shared" si="4"/>
        <v>0</v>
      </c>
      <c r="AA18" s="563">
        <f t="shared" si="4"/>
        <v>0</v>
      </c>
      <c r="AB18" s="563">
        <f>AB19+AB20</f>
        <v>0</v>
      </c>
      <c r="AC18" s="563">
        <f>AC19+AC20</f>
        <v>0</v>
      </c>
      <c r="AD18" s="656">
        <f>'Rebate Checks (expired)'!AD10 +'Rebate Checks (expired)'!AD11</f>
        <v>0</v>
      </c>
      <c r="AE18" s="656">
        <f>'Rebate Checks (expired)'!AE10 +'Rebate Checks (expired)'!AE11</f>
        <v>0</v>
      </c>
      <c r="AF18" s="656">
        <f>'Rebate Checks (expired)'!AF10 +'Rebate Checks (expired)'!AF11</f>
        <v>0</v>
      </c>
      <c r="AG18" s="656">
        <f>'Rebate Checks (expired)'!AG10 +'Rebate Checks (expired)'!AG11</f>
        <v>0</v>
      </c>
      <c r="AH18" s="656">
        <f>'Rebate Checks (expired)'!AH10 +'Rebate Checks (expired)'!AH11</f>
        <v>0</v>
      </c>
      <c r="AI18" s="656">
        <f>'Rebate Checks (expired)'!AI10 +'Rebate Checks (expired)'!AI11</f>
        <v>0</v>
      </c>
      <c r="AJ18" s="656">
        <f>'Rebate Checks (expired)'!AJ10 +'Rebate Checks (expired)'!AJ11</f>
        <v>0</v>
      </c>
      <c r="AK18" s="656">
        <f>'Rebate Checks (expired)'!AK10 +'Rebate Checks (expired)'!AK11</f>
        <v>0</v>
      </c>
      <c r="AL18" s="656">
        <f>'Rebate Checks (expired)'!AL10 +'Rebate Checks (expired)'!AL11</f>
        <v>0</v>
      </c>
      <c r="AM18" s="656">
        <f>'Rebate Checks (expired)'!AM10 +'Rebate Checks (expired)'!AM11</f>
        <v>0</v>
      </c>
      <c r="AN18" s="656">
        <f>'Rebate Checks (expired)'!AN10 +'Rebate Checks (expired)'!AN11</f>
        <v>0</v>
      </c>
    </row>
    <row r="19" spans="2:102" ht="18" customHeight="1" x14ac:dyDescent="0.35">
      <c r="B19" s="666" t="s">
        <v>1835</v>
      </c>
      <c r="C19" s="245"/>
      <c r="D19" s="272"/>
      <c r="E19" s="229"/>
      <c r="F19" s="229"/>
      <c r="G19" s="229"/>
      <c r="H19" s="503"/>
      <c r="I19" s="503"/>
      <c r="J19" s="503"/>
      <c r="K19" s="503"/>
      <c r="L19" s="503"/>
      <c r="M19" s="503"/>
      <c r="N19" s="503"/>
      <c r="O19" s="503"/>
      <c r="P19" s="503"/>
      <c r="Q19" s="503"/>
      <c r="R19" s="503"/>
      <c r="S19" s="503"/>
      <c r="T19" s="503"/>
      <c r="U19" s="503"/>
      <c r="V19" s="503">
        <v>0</v>
      </c>
      <c r="W19" s="503"/>
      <c r="X19" s="656"/>
      <c r="Y19" s="656"/>
      <c r="Z19" s="656"/>
      <c r="AA19" s="656"/>
      <c r="AB19" s="656"/>
      <c r="AC19" s="656"/>
      <c r="AD19" s="656"/>
      <c r="AE19" s="656"/>
      <c r="AF19" s="656"/>
      <c r="AG19" s="656"/>
      <c r="AH19" s="656"/>
      <c r="AI19" s="656"/>
      <c r="AJ19" s="656"/>
      <c r="AK19" s="656"/>
      <c r="AL19" s="656"/>
      <c r="AM19" s="656"/>
      <c r="AN19" s="656"/>
    </row>
    <row r="20" spans="2:102" ht="18" customHeight="1" x14ac:dyDescent="0.35">
      <c r="B20" s="666" t="s">
        <v>1836</v>
      </c>
      <c r="C20" s="245"/>
      <c r="D20" s="272"/>
      <c r="E20" s="229"/>
      <c r="F20" s="229"/>
      <c r="G20" s="229"/>
      <c r="H20" s="503"/>
      <c r="I20" s="503"/>
      <c r="J20" s="503"/>
      <c r="K20" s="503"/>
      <c r="L20" s="503"/>
      <c r="M20" s="503"/>
      <c r="N20" s="503"/>
      <c r="O20" s="503"/>
      <c r="P20" s="503"/>
      <c r="Q20" s="503"/>
      <c r="R20" s="503"/>
      <c r="S20" s="503"/>
      <c r="T20" s="503"/>
      <c r="U20" s="503"/>
      <c r="V20" s="503">
        <v>0</v>
      </c>
      <c r="W20" s="503"/>
      <c r="X20" s="656"/>
      <c r="Y20" s="656"/>
      <c r="Z20" s="656"/>
      <c r="AA20" s="656"/>
      <c r="AB20" s="656"/>
      <c r="AC20" s="656"/>
      <c r="AD20" s="656"/>
      <c r="AE20" s="656"/>
      <c r="AF20" s="656"/>
      <c r="AG20" s="656"/>
      <c r="AH20" s="656"/>
      <c r="AI20" s="656"/>
      <c r="AJ20" s="656"/>
      <c r="AK20" s="656"/>
      <c r="AL20" s="656"/>
      <c r="AM20" s="656"/>
      <c r="AN20" s="656"/>
    </row>
    <row r="21" spans="2:102" ht="18" customHeight="1" x14ac:dyDescent="0.35">
      <c r="B21" s="667" t="s">
        <v>49</v>
      </c>
      <c r="C21" s="245"/>
      <c r="D21" s="271">
        <f>'Provider Relief (expired)'!D11</f>
        <v>0</v>
      </c>
      <c r="E21" s="241">
        <f>'Provider Relief (expired)'!E11</f>
        <v>0</v>
      </c>
      <c r="F21" s="241">
        <f>'Provider Relief (expired)'!F11</f>
        <v>0</v>
      </c>
      <c r="G21" s="241">
        <f>'Provider Relief (expired)'!G11</f>
        <v>0</v>
      </c>
      <c r="H21" s="241">
        <f>'Provider Relief (expired)'!H11</f>
        <v>0</v>
      </c>
      <c r="I21" s="241">
        <f>'Provider Relief (expired)'!I11</f>
        <v>0</v>
      </c>
      <c r="J21" s="241">
        <f>'Provider Relief (expired)'!J11</f>
        <v>160.9</v>
      </c>
      <c r="K21" s="241">
        <f>'Provider Relief (expired)'!K11</f>
        <v>58.4</v>
      </c>
      <c r="L21" s="241">
        <f>'Provider Relief (expired)'!L11</f>
        <v>34.5</v>
      </c>
      <c r="M21" s="241">
        <f>'Provider Relief (expired)'!M11</f>
        <v>21.4</v>
      </c>
      <c r="N21" s="241">
        <f>'Provider Relief (expired)'!N11</f>
        <v>13.3</v>
      </c>
      <c r="O21" s="241">
        <f>'Provider Relief (expired)'!O11</f>
        <v>18.7</v>
      </c>
      <c r="P21" s="241">
        <f>'Provider Relief (expired)'!P11</f>
        <v>32.200000000000003</v>
      </c>
      <c r="Q21" s="241">
        <f>'Provider Relief (expired)'!Q11</f>
        <v>26.9</v>
      </c>
      <c r="R21" s="241">
        <f>'Provider Relief (expired)'!R11</f>
        <v>20</v>
      </c>
      <c r="S21" s="241">
        <f>'Provider Relief (expired)'!S11</f>
        <v>8.1</v>
      </c>
      <c r="T21" s="241">
        <f>'Provider Relief (expired)'!T11</f>
        <v>4.9000000000000004</v>
      </c>
      <c r="U21" s="241">
        <v>0</v>
      </c>
      <c r="V21" s="503">
        <v>0</v>
      </c>
      <c r="W21" s="503">
        <v>0</v>
      </c>
      <c r="X21" s="656">
        <v>0</v>
      </c>
      <c r="Y21" s="656">
        <v>0</v>
      </c>
      <c r="Z21" s="656">
        <v>0</v>
      </c>
      <c r="AA21" s="656">
        <v>0</v>
      </c>
      <c r="AB21" s="656">
        <v>0</v>
      </c>
      <c r="AC21" s="656">
        <v>0</v>
      </c>
      <c r="AD21" s="656">
        <v>0</v>
      </c>
      <c r="AE21" s="656">
        <v>0</v>
      </c>
      <c r="AF21" s="656">
        <v>0</v>
      </c>
      <c r="AG21" s="656">
        <v>0</v>
      </c>
      <c r="AH21" s="656">
        <v>0</v>
      </c>
      <c r="AI21" s="656">
        <v>0</v>
      </c>
      <c r="AJ21" s="656">
        <v>0</v>
      </c>
      <c r="AK21" s="656">
        <v>0</v>
      </c>
      <c r="AL21" s="656">
        <v>0</v>
      </c>
      <c r="AM21" s="656">
        <v>0</v>
      </c>
      <c r="AN21" s="656">
        <v>0</v>
      </c>
    </row>
    <row r="22" spans="2:102" ht="18" customHeight="1" x14ac:dyDescent="0.35">
      <c r="B22" s="287" t="s">
        <v>1837</v>
      </c>
      <c r="C22" s="245"/>
      <c r="D22" s="271"/>
      <c r="E22" s="241"/>
      <c r="F22" s="241"/>
      <c r="G22" s="241"/>
      <c r="H22" s="241"/>
      <c r="I22" s="241"/>
      <c r="J22" s="241"/>
      <c r="K22" s="241"/>
      <c r="L22" s="241"/>
      <c r="M22" s="241"/>
      <c r="N22" s="241"/>
      <c r="O22" s="241"/>
      <c r="P22" s="241"/>
      <c r="Q22" s="241"/>
      <c r="R22" s="241"/>
      <c r="S22" s="241"/>
      <c r="T22" s="241"/>
      <c r="U22" s="241"/>
      <c r="V22" s="503"/>
      <c r="W22" s="503"/>
      <c r="X22" s="656"/>
      <c r="Y22" s="656"/>
      <c r="Z22" s="656"/>
      <c r="AA22" s="656"/>
      <c r="AB22" s="656"/>
      <c r="AC22" s="656"/>
      <c r="AD22" s="656"/>
      <c r="AE22" s="656"/>
      <c r="AF22" s="656"/>
      <c r="AG22" s="656"/>
      <c r="AH22" s="656"/>
      <c r="AI22" s="656"/>
      <c r="AJ22" s="656"/>
      <c r="AK22" s="656"/>
      <c r="AL22" s="656"/>
      <c r="AM22" s="656"/>
      <c r="AN22" s="656"/>
    </row>
    <row r="23" spans="2:102" ht="18" customHeight="1" x14ac:dyDescent="0.35">
      <c r="B23" s="287" t="s">
        <v>1838</v>
      </c>
      <c r="C23" s="245"/>
      <c r="D23" s="271"/>
      <c r="E23" s="241"/>
      <c r="F23" s="241"/>
      <c r="G23" s="241"/>
      <c r="H23" s="241"/>
      <c r="I23" s="241"/>
      <c r="J23" s="241"/>
      <c r="K23" s="241"/>
      <c r="L23" s="241"/>
      <c r="M23" s="241"/>
      <c r="N23" s="241"/>
      <c r="O23" s="241"/>
      <c r="P23" s="241"/>
      <c r="Q23" s="241"/>
      <c r="R23" s="241"/>
      <c r="S23" s="241"/>
      <c r="T23" s="241"/>
      <c r="U23" s="241"/>
      <c r="V23" s="503"/>
      <c r="W23" s="503"/>
      <c r="X23" s="656"/>
      <c r="Y23" s="656"/>
      <c r="Z23" s="656"/>
      <c r="AA23" s="656"/>
      <c r="AB23" s="656"/>
      <c r="AC23" s="656"/>
      <c r="AD23" s="656"/>
      <c r="AE23" s="656"/>
      <c r="AF23" s="656"/>
      <c r="AG23" s="656"/>
      <c r="AH23" s="656"/>
      <c r="AI23" s="656"/>
      <c r="AJ23" s="656"/>
      <c r="AK23" s="656"/>
      <c r="AL23" s="656"/>
      <c r="AM23" s="656"/>
      <c r="AN23" s="656"/>
    </row>
    <row r="24" spans="2:102" ht="20.149999999999999" customHeight="1" x14ac:dyDescent="0.35">
      <c r="B24" s="268" t="s">
        <v>470</v>
      </c>
      <c r="C24" s="263"/>
      <c r="D24" s="704"/>
      <c r="E24" s="626"/>
      <c r="F24" s="626"/>
      <c r="G24" s="626"/>
      <c r="H24" s="560"/>
      <c r="I24" s="560"/>
      <c r="J24" s="560"/>
      <c r="K24" s="560"/>
      <c r="L24" s="560"/>
      <c r="M24" s="560">
        <f>'ARP Quarterly'!C5</f>
        <v>0</v>
      </c>
      <c r="N24" s="560">
        <f>'ARP Quarterly'!D5</f>
        <v>33.921840000000024</v>
      </c>
      <c r="O24" s="560">
        <f>'ARP Quarterly'!E5</f>
        <v>44.966160000000031</v>
      </c>
      <c r="P24" s="560">
        <f>'ARP Quarterly'!F5</f>
        <v>52.756999999999998</v>
      </c>
      <c r="Q24" s="560">
        <f>'ARP Quarterly'!G5</f>
        <v>52.756999999999998</v>
      </c>
      <c r="R24" s="560">
        <f>'ARP Quarterly'!H5</f>
        <v>52.756999999999998</v>
      </c>
      <c r="S24" s="560">
        <f>'ARP Quarterly'!I5</f>
        <v>52.756999999999998</v>
      </c>
      <c r="T24" s="560">
        <v>30</v>
      </c>
      <c r="U24" s="560">
        <f>'ARP Quarterly'!K5</f>
        <v>12</v>
      </c>
      <c r="V24" s="560">
        <f>'ARP Quarterly'!L5</f>
        <v>12</v>
      </c>
      <c r="W24" s="560">
        <f>'ARP Quarterly'!M5</f>
        <v>12</v>
      </c>
      <c r="X24" s="562">
        <f>'ARP Quarterly'!N5</f>
        <v>4.2219999999999995</v>
      </c>
      <c r="Y24" s="562">
        <f>'ARP Quarterly'!O5</f>
        <v>4.2219999999999995</v>
      </c>
      <c r="Z24" s="562">
        <f>'ARP Quarterly'!P5</f>
        <v>4.2219999999999995</v>
      </c>
      <c r="AA24" s="562">
        <f>'ARP Quarterly'!Q5</f>
        <v>4.2219999999999995</v>
      </c>
      <c r="AB24" s="562">
        <f>'ARP Quarterly'!R5</f>
        <v>2.3719999999999999</v>
      </c>
      <c r="AC24" s="562">
        <f>'ARP Quarterly'!S5</f>
        <v>2.3719999999999999</v>
      </c>
      <c r="AD24" s="562">
        <f>'ARP Quarterly'!T5</f>
        <v>2.3719999999999999</v>
      </c>
      <c r="AE24" s="562">
        <f>'ARP Quarterly'!U5</f>
        <v>2.3719999999999999</v>
      </c>
      <c r="AF24" s="562">
        <f>'ARP Quarterly'!V5</f>
        <v>0.49</v>
      </c>
      <c r="AG24" s="513">
        <v>0</v>
      </c>
      <c r="AH24" s="513">
        <v>0</v>
      </c>
      <c r="AI24" s="513">
        <v>0</v>
      </c>
      <c r="AJ24" s="513">
        <v>0</v>
      </c>
      <c r="AK24" s="513">
        <v>0</v>
      </c>
      <c r="AL24" s="513">
        <v>0</v>
      </c>
      <c r="AM24" s="513">
        <v>0</v>
      </c>
      <c r="AN24" s="513">
        <v>0</v>
      </c>
    </row>
    <row r="25" spans="2:102" ht="22.4" customHeight="1" x14ac:dyDescent="0.35">
      <c r="B25" s="252" t="s">
        <v>218</v>
      </c>
      <c r="C25" s="672"/>
      <c r="D25" s="271"/>
      <c r="E25" s="241"/>
      <c r="F25" s="241"/>
      <c r="G25" s="241"/>
      <c r="H25" s="241"/>
      <c r="I25" s="241"/>
      <c r="J25" s="241"/>
      <c r="K25" s="241"/>
      <c r="L25" s="241"/>
      <c r="M25" s="503">
        <f>'ARP Quarterly'!C4</f>
        <v>0</v>
      </c>
      <c r="N25" s="503">
        <f>'ARP Quarterly'!D4</f>
        <v>0</v>
      </c>
      <c r="O25" s="503">
        <f>'ARP Quarterly'!E4</f>
        <v>3.1040000000000418</v>
      </c>
      <c r="P25" s="503">
        <f>'ARP Quarterly'!F4</f>
        <v>19.719000000000005</v>
      </c>
      <c r="Q25" s="503">
        <f>'ARP Quarterly'!G4</f>
        <v>19.719000000000005</v>
      </c>
      <c r="R25" s="503">
        <f>'ARP Quarterly'!H4</f>
        <v>19.719000000000005</v>
      </c>
      <c r="S25" s="503">
        <f>'ARP Quarterly'!I4</f>
        <v>19.719000000000005</v>
      </c>
      <c r="T25" s="503">
        <f>'ARP Quarterly'!J4</f>
        <v>1.4159999999999999</v>
      </c>
      <c r="U25" s="503">
        <f>'ARP Quarterly'!K4</f>
        <v>1.4159999999999999</v>
      </c>
      <c r="V25" s="503">
        <f>'ARP Quarterly'!L4</f>
        <v>1.4159999999999999</v>
      </c>
      <c r="W25" s="503">
        <f>'ARP Quarterly'!M4</f>
        <v>1.4159999999999999</v>
      </c>
      <c r="X25" s="656">
        <f>'ARP Quarterly'!N4</f>
        <v>1.4790000000000001</v>
      </c>
      <c r="Y25" s="656">
        <f>'ARP Quarterly'!O4</f>
        <v>1.4790000000000001</v>
      </c>
      <c r="Z25" s="656">
        <f>'ARP Quarterly'!P4</f>
        <v>1.4790000000000001</v>
      </c>
      <c r="AA25" s="656">
        <f>'ARP Quarterly'!Q4</f>
        <v>1.4790000000000001</v>
      </c>
      <c r="AB25" s="656">
        <f>'ARP Quarterly'!R4</f>
        <v>1.63</v>
      </c>
      <c r="AC25" s="656">
        <f>'ARP Quarterly'!S4</f>
        <v>1.63</v>
      </c>
      <c r="AD25" s="656">
        <f>'ARP Quarterly'!T4</f>
        <v>1.63</v>
      </c>
      <c r="AE25" s="656">
        <f>'ARP Quarterly'!U4</f>
        <v>1.63</v>
      </c>
      <c r="AF25" s="656">
        <f>'ARP Quarterly'!V4</f>
        <v>1.671</v>
      </c>
      <c r="AG25" s="670">
        <v>0</v>
      </c>
      <c r="AH25" s="670">
        <v>0</v>
      </c>
      <c r="AI25" s="670">
        <v>0</v>
      </c>
      <c r="AJ25" s="670">
        <v>0</v>
      </c>
      <c r="AK25" s="670">
        <v>0</v>
      </c>
      <c r="AL25" s="670">
        <v>0</v>
      </c>
      <c r="AM25" s="670">
        <v>0</v>
      </c>
      <c r="AN25" s="670">
        <v>0</v>
      </c>
      <c r="AO25" s="672"/>
      <c r="AP25" s="672"/>
      <c r="AQ25" s="672"/>
      <c r="AR25" s="672"/>
      <c r="AS25" s="672"/>
      <c r="AT25" s="672"/>
      <c r="AU25" s="672"/>
      <c r="AV25" s="672"/>
      <c r="AW25" s="672"/>
      <c r="AX25" s="672"/>
      <c r="AY25" s="672"/>
      <c r="AZ25" s="672"/>
      <c r="BA25" s="672"/>
      <c r="BB25" s="672"/>
      <c r="BC25" s="672"/>
      <c r="BD25" s="672"/>
      <c r="BE25" s="672"/>
      <c r="BF25" s="672"/>
      <c r="BG25" s="672"/>
      <c r="BH25" s="672"/>
      <c r="BI25" s="672"/>
      <c r="BJ25" s="672"/>
      <c r="BK25" s="672"/>
      <c r="BL25" s="672"/>
      <c r="BM25" s="672"/>
      <c r="BN25" s="672"/>
      <c r="BO25" s="672"/>
      <c r="BP25" s="672"/>
      <c r="BQ25" s="672"/>
      <c r="BR25" s="672"/>
      <c r="BS25" s="672"/>
      <c r="BT25" s="672"/>
      <c r="BU25" s="672"/>
      <c r="BV25" s="672"/>
      <c r="BW25" s="672"/>
      <c r="BX25" s="672"/>
      <c r="BY25" s="672"/>
      <c r="BZ25" s="672"/>
      <c r="CA25" s="672"/>
      <c r="CB25" s="672"/>
      <c r="CC25" s="672"/>
      <c r="CD25" s="672"/>
      <c r="CE25" s="672"/>
      <c r="CF25" s="672"/>
      <c r="CG25" s="672"/>
      <c r="CH25" s="672"/>
      <c r="CI25" s="672"/>
      <c r="CJ25" s="672"/>
      <c r="CK25" s="672"/>
      <c r="CL25" s="672"/>
      <c r="CM25" s="672"/>
      <c r="CN25" s="672"/>
      <c r="CO25" s="672"/>
      <c r="CP25" s="672"/>
      <c r="CQ25" s="672"/>
      <c r="CR25" s="672"/>
      <c r="CS25" s="672"/>
      <c r="CT25" s="672"/>
      <c r="CU25" s="672"/>
      <c r="CV25" s="672"/>
      <c r="CW25" s="672"/>
      <c r="CX25" s="672"/>
    </row>
    <row r="26" spans="2:102" ht="36.65" customHeight="1" x14ac:dyDescent="0.35">
      <c r="B26" s="252" t="s">
        <v>1427</v>
      </c>
      <c r="C26" s="245"/>
      <c r="D26" s="272">
        <f>D50</f>
        <v>0</v>
      </c>
      <c r="E26" s="229">
        <f t="shared" ref="E26:AE26" si="5">E50</f>
        <v>0</v>
      </c>
      <c r="F26" s="229">
        <f t="shared" si="5"/>
        <v>0</v>
      </c>
      <c r="G26" s="229">
        <f t="shared" si="5"/>
        <v>0</v>
      </c>
      <c r="H26" s="229">
        <f t="shared" si="5"/>
        <v>0</v>
      </c>
      <c r="I26" s="503">
        <f t="shared" si="5"/>
        <v>6.9120000000000061</v>
      </c>
      <c r="J26" s="503">
        <f t="shared" si="5"/>
        <v>50.955000000000005</v>
      </c>
      <c r="K26" s="503">
        <f t="shared" si="5"/>
        <v>51.173999999999999</v>
      </c>
      <c r="L26" s="503">
        <f t="shared" si="5"/>
        <v>51.893999999999998</v>
      </c>
      <c r="M26" s="503">
        <f t="shared" si="5"/>
        <v>91.075000000000017</v>
      </c>
      <c r="N26" s="503">
        <f t="shared" si="5"/>
        <v>100.63400000000001</v>
      </c>
      <c r="O26" s="503">
        <f t="shared" si="5"/>
        <v>93.89100000000002</v>
      </c>
      <c r="P26" s="503">
        <f t="shared" si="5"/>
        <v>100.22800000000001</v>
      </c>
      <c r="Q26" s="503">
        <f t="shared" si="5"/>
        <v>76.838999999999999</v>
      </c>
      <c r="R26" s="503">
        <f t="shared" si="5"/>
        <v>73.637</v>
      </c>
      <c r="S26" s="503">
        <f t="shared" si="5"/>
        <v>70.649000000000001</v>
      </c>
      <c r="T26" s="503">
        <f t="shared" si="5"/>
        <v>91.718000000000018</v>
      </c>
      <c r="U26" s="503">
        <f t="shared" si="5"/>
        <v>83.695999999999998</v>
      </c>
      <c r="V26" s="503">
        <f>V50</f>
        <v>51.979000000000006</v>
      </c>
      <c r="W26" s="503">
        <f>W50</f>
        <v>51.58400000000001</v>
      </c>
      <c r="X26" s="656">
        <f t="shared" si="5"/>
        <v>38.777999999999999</v>
      </c>
      <c r="Y26" s="656">
        <f t="shared" si="5"/>
        <v>37.295999999999999</v>
      </c>
      <c r="Z26" s="656">
        <f t="shared" si="5"/>
        <v>41.408000000000008</v>
      </c>
      <c r="AA26" s="656">
        <f t="shared" si="5"/>
        <v>48.07800000000001</v>
      </c>
      <c r="AB26" s="656">
        <f t="shared" si="5"/>
        <v>43.804000000000009</v>
      </c>
      <c r="AC26" s="656">
        <f t="shared" si="5"/>
        <v>40.554000000000009</v>
      </c>
      <c r="AD26" s="656">
        <f t="shared" si="5"/>
        <v>40.554000000000009</v>
      </c>
      <c r="AE26" s="656">
        <f t="shared" si="5"/>
        <v>40.554000000000009</v>
      </c>
      <c r="AF26" s="656">
        <f>AF50</f>
        <v>32.593000000000011</v>
      </c>
      <c r="AG26" s="656">
        <f>AG50</f>
        <v>32.593000000000011</v>
      </c>
      <c r="AH26" s="656">
        <f>AH50</f>
        <v>32.593000000000011</v>
      </c>
      <c r="AI26" s="656">
        <f>AI50</f>
        <v>32.593000000000011</v>
      </c>
      <c r="AJ26" s="656">
        <f>AJ50</f>
        <v>24.438000000000009</v>
      </c>
      <c r="AK26" s="656">
        <f t="shared" ref="AK26:AN26" si="6">AK50</f>
        <v>24.438000000000009</v>
      </c>
      <c r="AL26" s="656">
        <f t="shared" si="6"/>
        <v>24.438000000000009</v>
      </c>
      <c r="AM26" s="656">
        <f t="shared" si="6"/>
        <v>24.438000000000009</v>
      </c>
      <c r="AN26" s="656">
        <f t="shared" si="6"/>
        <v>2.7930000000000099</v>
      </c>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M26" s="245"/>
      <c r="CN26" s="245"/>
      <c r="CO26" s="245"/>
      <c r="CP26" s="245"/>
      <c r="CQ26" s="245"/>
      <c r="CR26" s="245"/>
      <c r="CS26" s="245"/>
      <c r="CT26" s="245"/>
      <c r="CU26" s="245"/>
      <c r="CV26" s="245"/>
      <c r="CW26" s="245"/>
    </row>
    <row r="27" spans="2:102" ht="15.65" customHeight="1" x14ac:dyDescent="0.35">
      <c r="B27" s="252" t="s">
        <v>796</v>
      </c>
      <c r="C27" s="245" t="s">
        <v>823</v>
      </c>
      <c r="D27" s="271">
        <v>30</v>
      </c>
      <c r="E27" s="241">
        <v>30</v>
      </c>
      <c r="F27" s="241">
        <v>30</v>
      </c>
      <c r="G27" s="241">
        <v>30</v>
      </c>
      <c r="H27" s="241">
        <v>30</v>
      </c>
      <c r="I27" s="241">
        <v>30</v>
      </c>
      <c r="J27" s="241">
        <v>30</v>
      </c>
      <c r="K27" s="237">
        <v>30.2</v>
      </c>
      <c r="L27" s="237">
        <v>30.2</v>
      </c>
      <c r="M27" s="237">
        <f>'Haver Pivoted'!GX89</f>
        <v>34.4</v>
      </c>
      <c r="N27" s="237">
        <f>'Haver Pivoted'!GY89</f>
        <v>34.4</v>
      </c>
      <c r="O27" s="237">
        <f>'Haver Pivoted'!GZ89</f>
        <v>218.933333333333</v>
      </c>
      <c r="P27" s="237">
        <f>'Haver Pivoted'!HA89</f>
        <v>223.13333333333301</v>
      </c>
      <c r="Q27" s="237">
        <f>'Haver Pivoted'!HB89</f>
        <v>94.3</v>
      </c>
      <c r="R27" s="237">
        <f>'Haver Pivoted'!HC89</f>
        <v>94.3</v>
      </c>
      <c r="S27" s="461">
        <f>'Haver Pivoted'!HD89</f>
        <v>94.3</v>
      </c>
      <c r="T27" s="461">
        <f>'Haver Pivoted'!HE89</f>
        <v>94.3</v>
      </c>
      <c r="U27" s="656">
        <v>34</v>
      </c>
      <c r="V27" s="503">
        <v>34</v>
      </c>
      <c r="W27" s="503">
        <v>34</v>
      </c>
      <c r="X27" s="656">
        <v>34</v>
      </c>
      <c r="Y27" s="656">
        <v>34</v>
      </c>
      <c r="Z27" s="656">
        <v>34</v>
      </c>
      <c r="AA27" s="656">
        <v>34</v>
      </c>
      <c r="AB27" s="656">
        <v>34</v>
      </c>
      <c r="AC27" s="656">
        <v>34</v>
      </c>
      <c r="AD27" s="656">
        <v>34</v>
      </c>
      <c r="AE27" s="656">
        <v>34</v>
      </c>
      <c r="AF27" s="656">
        <v>34</v>
      </c>
      <c r="AG27" s="656">
        <v>34</v>
      </c>
      <c r="AH27" s="656">
        <v>34</v>
      </c>
      <c r="AI27" s="656">
        <v>35</v>
      </c>
      <c r="AJ27" s="656">
        <v>36</v>
      </c>
      <c r="AK27" s="656">
        <v>37</v>
      </c>
      <c r="AL27" s="656">
        <v>38</v>
      </c>
      <c r="AM27" s="656">
        <v>39</v>
      </c>
      <c r="AN27" s="656">
        <v>40</v>
      </c>
    </row>
    <row r="28" spans="2:102" ht="21.65" customHeight="1" x14ac:dyDescent="0.35">
      <c r="B28" s="252" t="s">
        <v>468</v>
      </c>
      <c r="C28" s="245"/>
      <c r="D28" s="272"/>
      <c r="E28" s="229"/>
      <c r="F28" s="229"/>
      <c r="G28" s="229"/>
      <c r="H28" s="503"/>
      <c r="I28" s="503"/>
      <c r="J28" s="503">
        <f>'PPP (expired)'!J53</f>
        <v>57.2</v>
      </c>
      <c r="K28" s="503">
        <f>'PPP (expired)'!K53</f>
        <v>81.2</v>
      </c>
      <c r="L28" s="503">
        <f>'PPP (expired)'!L53</f>
        <v>24.4</v>
      </c>
      <c r="M28" s="503">
        <f>'PPP (expired)'!M53</f>
        <v>11.7</v>
      </c>
      <c r="N28" s="503">
        <f>'PPP (expired)'!N53</f>
        <v>28.5</v>
      </c>
      <c r="O28" s="503">
        <f>'PPP (expired)'!O53</f>
        <v>18.8</v>
      </c>
      <c r="P28" s="503">
        <f>'PPP (expired)'!P53</f>
        <v>1.6</v>
      </c>
      <c r="Q28" s="503">
        <f>'PPP (expired)'!Q53</f>
        <v>0</v>
      </c>
      <c r="R28" s="503">
        <f>'PPP (expired)'!Q61</f>
        <v>0</v>
      </c>
      <c r="S28" s="503">
        <f>'PPP (expired)'!S53</f>
        <v>0</v>
      </c>
      <c r="T28" s="503">
        <f>'PPP (expired)'!T53</f>
        <v>0</v>
      </c>
      <c r="U28" s="503">
        <f>'PPP (expired)'!U53</f>
        <v>0</v>
      </c>
      <c r="V28" s="503">
        <f>'PPP (expired)'!V53</f>
        <v>0</v>
      </c>
      <c r="W28" s="503">
        <f>'PPP (expired)'!W53</f>
        <v>0</v>
      </c>
      <c r="X28" s="656">
        <f>'PPP (expired)'!X53</f>
        <v>0</v>
      </c>
      <c r="Y28" s="656">
        <f>'PPP (expired)'!Y53</f>
        <v>0</v>
      </c>
      <c r="Z28" s="656">
        <f>'PPP (expired)'!Z53</f>
        <v>0</v>
      </c>
      <c r="AA28" s="656">
        <f>'PPP (expired)'!AA53</f>
        <v>0</v>
      </c>
      <c r="AB28" s="656">
        <f>'PPP (expired)'!AB53</f>
        <v>0</v>
      </c>
      <c r="AC28" s="656">
        <f>'PPP (expired)'!AC53</f>
        <v>0</v>
      </c>
      <c r="AD28" s="656">
        <f>'PPP (expired)'!AD53</f>
        <v>0</v>
      </c>
      <c r="AE28" s="656">
        <f>'PPP (expired)'!AE53</f>
        <v>0</v>
      </c>
      <c r="AF28" s="656">
        <f>'PPP (expired)'!AF53</f>
        <v>0</v>
      </c>
      <c r="AG28" s="656">
        <f>'PPP (expired)'!AG53</f>
        <v>0</v>
      </c>
      <c r="AH28" s="656">
        <f>'PPP (expired)'!AH53</f>
        <v>0</v>
      </c>
      <c r="AI28" s="656">
        <f>'PPP (expired)'!AI53</f>
        <v>0</v>
      </c>
      <c r="AJ28" s="656">
        <f>'PPP (expired)'!AJ53</f>
        <v>0</v>
      </c>
      <c r="AK28" s="656">
        <f>'PPP (expired)'!AK53</f>
        <v>0</v>
      </c>
      <c r="AL28" s="656">
        <f>'PPP (expired)'!AL53</f>
        <v>0</v>
      </c>
      <c r="AM28" s="656">
        <f>'PPP (expired)'!AM53</f>
        <v>0</v>
      </c>
      <c r="AN28" s="656">
        <f>'PPP (expired)'!AN53</f>
        <v>0</v>
      </c>
    </row>
    <row r="29" spans="2:102" ht="21.65" customHeight="1" x14ac:dyDescent="0.35">
      <c r="B29" s="287" t="s">
        <v>797</v>
      </c>
      <c r="C29" s="245"/>
      <c r="D29" s="588">
        <f t="shared" ref="D29:AE29" si="7">D75</f>
        <v>0</v>
      </c>
      <c r="E29" s="503">
        <f t="shared" si="7"/>
        <v>0</v>
      </c>
      <c r="F29" s="503">
        <f t="shared" si="7"/>
        <v>0</v>
      </c>
      <c r="G29" s="503">
        <f t="shared" si="7"/>
        <v>0</v>
      </c>
      <c r="H29" s="503">
        <f t="shared" si="7"/>
        <v>0</v>
      </c>
      <c r="I29" s="503">
        <f t="shared" si="7"/>
        <v>-6.9120000000000346</v>
      </c>
      <c r="J29" s="503">
        <f t="shared" si="7"/>
        <v>-37.9549999999997</v>
      </c>
      <c r="K29" s="503">
        <f t="shared" si="7"/>
        <v>85.725999999999658</v>
      </c>
      <c r="L29" s="503">
        <f t="shared" si="7"/>
        <v>18.405999999999722</v>
      </c>
      <c r="M29" s="503">
        <f t="shared" si="7"/>
        <v>20.282000000000153</v>
      </c>
      <c r="N29" s="503">
        <f t="shared" si="7"/>
        <v>-8.5988400000003367</v>
      </c>
      <c r="O29" s="503">
        <f t="shared" si="7"/>
        <v>-12.537493333333487</v>
      </c>
      <c r="P29" s="503">
        <f t="shared" si="7"/>
        <v>-32.38033333333351</v>
      </c>
      <c r="Q29" s="503">
        <f t="shared" si="7"/>
        <v>72.734879999999521</v>
      </c>
      <c r="R29" s="503">
        <f t="shared" si="7"/>
        <v>75.236879999999019</v>
      </c>
      <c r="S29" s="503">
        <f t="shared" si="7"/>
        <v>66.046879999999419</v>
      </c>
      <c r="T29" s="503">
        <f t="shared" si="7"/>
        <v>90.12587999999937</v>
      </c>
      <c r="U29" s="503">
        <f t="shared" si="7"/>
        <v>55.219026999999414</v>
      </c>
      <c r="V29" s="503">
        <f>V75</f>
        <v>69.376026999999112</v>
      </c>
      <c r="W29" s="503">
        <f t="shared" si="7"/>
        <v>73.871026999999231</v>
      </c>
      <c r="X29" s="656">
        <f t="shared" si="7"/>
        <v>92.003026999999292</v>
      </c>
      <c r="Y29" s="656">
        <f t="shared" si="7"/>
        <v>133.13552299999901</v>
      </c>
      <c r="Z29" s="656">
        <f t="shared" si="7"/>
        <v>146.42352299999902</v>
      </c>
      <c r="AA29" s="656">
        <f t="shared" si="7"/>
        <v>149.85352299999886</v>
      </c>
      <c r="AB29" s="656">
        <f t="shared" si="7"/>
        <v>163.69852299999889</v>
      </c>
      <c r="AC29" s="656">
        <f t="shared" si="7"/>
        <v>214.3287979999991</v>
      </c>
      <c r="AD29" s="656">
        <f t="shared" si="7"/>
        <v>214.3287979999991</v>
      </c>
      <c r="AE29" s="656">
        <f t="shared" si="7"/>
        <v>214.3287979999991</v>
      </c>
      <c r="AF29" s="656">
        <f>AF75</f>
        <v>214.3287979999991</v>
      </c>
      <c r="AG29" s="656">
        <f>AG75</f>
        <v>214.3287979999991</v>
      </c>
      <c r="AH29" s="656">
        <f>AH75</f>
        <v>214.3287979999991</v>
      </c>
      <c r="AI29" s="656">
        <f t="shared" ref="AI29:AJ29" si="8">AI75</f>
        <v>214.3287979999991</v>
      </c>
      <c r="AJ29" s="656">
        <f t="shared" si="8"/>
        <v>214.3287979999991</v>
      </c>
      <c r="AK29" s="656">
        <f t="shared" ref="AK29:AN29" si="9">AK75</f>
        <v>214.3287979999991</v>
      </c>
      <c r="AL29" s="656">
        <f t="shared" si="9"/>
        <v>214.3287979999991</v>
      </c>
      <c r="AM29" s="656">
        <f t="shared" si="9"/>
        <v>214.3287979999991</v>
      </c>
      <c r="AN29" s="656">
        <f t="shared" si="9"/>
        <v>214.3287979999991</v>
      </c>
    </row>
    <row r="30" spans="2:102" ht="21" customHeight="1" x14ac:dyDescent="0.35">
      <c r="B30" s="268" t="s">
        <v>794</v>
      </c>
      <c r="C30" s="263"/>
      <c r="D30" s="704">
        <f t="shared" ref="D30:W30" si="10">D25+D21</f>
        <v>0</v>
      </c>
      <c r="E30" s="626">
        <f t="shared" si="10"/>
        <v>0</v>
      </c>
      <c r="F30" s="626">
        <f t="shared" si="10"/>
        <v>0</v>
      </c>
      <c r="G30" s="626">
        <f t="shared" si="10"/>
        <v>0</v>
      </c>
      <c r="H30" s="626">
        <f t="shared" si="10"/>
        <v>0</v>
      </c>
      <c r="I30" s="626">
        <f t="shared" si="10"/>
        <v>0</v>
      </c>
      <c r="J30" s="626">
        <f t="shared" si="10"/>
        <v>160.9</v>
      </c>
      <c r="K30" s="626">
        <f t="shared" si="10"/>
        <v>58.4</v>
      </c>
      <c r="L30" s="626">
        <f t="shared" si="10"/>
        <v>34.5</v>
      </c>
      <c r="M30" s="626">
        <f t="shared" si="10"/>
        <v>21.4</v>
      </c>
      <c r="N30" s="626">
        <f t="shared" si="10"/>
        <v>13.3</v>
      </c>
      <c r="O30" s="626">
        <f t="shared" si="10"/>
        <v>21.804000000000041</v>
      </c>
      <c r="P30" s="560">
        <f t="shared" si="10"/>
        <v>51.919000000000011</v>
      </c>
      <c r="Q30" s="626">
        <f t="shared" si="10"/>
        <v>46.619</v>
      </c>
      <c r="R30" s="626">
        <f t="shared" si="10"/>
        <v>39.719000000000008</v>
      </c>
      <c r="S30" s="626">
        <f t="shared" si="10"/>
        <v>27.819000000000003</v>
      </c>
      <c r="T30" s="560">
        <f t="shared" si="10"/>
        <v>6.3160000000000007</v>
      </c>
      <c r="U30" s="560">
        <f t="shared" si="10"/>
        <v>1.4159999999999999</v>
      </c>
      <c r="V30" s="560">
        <f t="shared" si="10"/>
        <v>1.4159999999999999</v>
      </c>
      <c r="W30" s="560">
        <f t="shared" si="10"/>
        <v>1.4159999999999999</v>
      </c>
      <c r="X30" s="562">
        <f t="shared" ref="X30:AB30" si="11">X25+X21</f>
        <v>1.4790000000000001</v>
      </c>
      <c r="Y30" s="562">
        <f t="shared" si="11"/>
        <v>1.4790000000000001</v>
      </c>
      <c r="Z30" s="562">
        <f t="shared" si="11"/>
        <v>1.4790000000000001</v>
      </c>
      <c r="AA30" s="562">
        <f t="shared" si="11"/>
        <v>1.4790000000000001</v>
      </c>
      <c r="AB30" s="562">
        <f t="shared" si="11"/>
        <v>1.63</v>
      </c>
      <c r="AC30" s="562">
        <f>AC25+AC21</f>
        <v>1.63</v>
      </c>
      <c r="AD30" s="562">
        <f t="shared" ref="AD30:AE30" si="12">AD25+AD21</f>
        <v>1.63</v>
      </c>
      <c r="AE30" s="562">
        <f t="shared" si="12"/>
        <v>1.63</v>
      </c>
      <c r="AF30" s="562">
        <f>AF25+AF21</f>
        <v>1.671</v>
      </c>
      <c r="AG30" s="562">
        <f>AG25+AG21</f>
        <v>0</v>
      </c>
      <c r="AH30" s="562">
        <f>AH25+AH21</f>
        <v>0</v>
      </c>
      <c r="AI30" s="562">
        <f t="shared" ref="AI30:AJ30" si="13">AI25+AI21</f>
        <v>0</v>
      </c>
      <c r="AJ30" s="562">
        <f t="shared" si="13"/>
        <v>0</v>
      </c>
      <c r="AK30" s="562">
        <f t="shared" ref="AK30:AN30" si="14">AK25+AK21</f>
        <v>0</v>
      </c>
      <c r="AL30" s="562">
        <f t="shared" si="14"/>
        <v>0</v>
      </c>
      <c r="AM30" s="562">
        <f t="shared" si="14"/>
        <v>0</v>
      </c>
      <c r="AN30" s="562">
        <f t="shared" si="14"/>
        <v>0</v>
      </c>
    </row>
    <row r="31" spans="2:102" ht="44.9" customHeight="1" x14ac:dyDescent="0.35">
      <c r="B31" s="252" t="s">
        <v>801</v>
      </c>
      <c r="C31" s="245"/>
      <c r="D31" s="588">
        <f t="shared" ref="D31:AE31" si="15">D67</f>
        <v>1410.9</v>
      </c>
      <c r="E31" s="503">
        <f t="shared" si="15"/>
        <v>1470.7000000000003</v>
      </c>
      <c r="F31" s="503">
        <f t="shared" si="15"/>
        <v>1475.8999999999996</v>
      </c>
      <c r="G31" s="503">
        <f t="shared" si="15"/>
        <v>1482.6999999999998</v>
      </c>
      <c r="H31" s="503">
        <f t="shared" si="15"/>
        <v>1490.8000000000002</v>
      </c>
      <c r="I31" s="503">
        <f t="shared" si="15"/>
        <v>1542.4</v>
      </c>
      <c r="J31" s="503">
        <f t="shared" si="15"/>
        <v>1549.1000000000001</v>
      </c>
      <c r="K31" s="503">
        <f t="shared" si="15"/>
        <v>1555.8000000000002</v>
      </c>
      <c r="L31" s="503">
        <f t="shared" si="15"/>
        <v>1562.5000000000002</v>
      </c>
      <c r="M31" s="503">
        <f t="shared" si="15"/>
        <v>1586.8430000000003</v>
      </c>
      <c r="N31" s="503">
        <f t="shared" si="15"/>
        <v>1593.5430000000003</v>
      </c>
      <c r="O31" s="503">
        <f t="shared" si="15"/>
        <v>1600.2430000000004</v>
      </c>
      <c r="P31" s="503">
        <f t="shared" si="15"/>
        <v>1606.9430000000004</v>
      </c>
      <c r="Q31" s="503">
        <f t="shared" si="15"/>
        <v>1685.5501200000006</v>
      </c>
      <c r="R31" s="503">
        <f t="shared" si="15"/>
        <v>1692.2501200000006</v>
      </c>
      <c r="S31" s="503">
        <f t="shared" si="15"/>
        <v>1698.9501200000007</v>
      </c>
      <c r="T31" s="503">
        <f t="shared" si="15"/>
        <v>1705.6501200000007</v>
      </c>
      <c r="U31" s="503">
        <f t="shared" si="15"/>
        <v>1818.9789730000007</v>
      </c>
      <c r="V31" s="503">
        <f t="shared" si="15"/>
        <v>1825.6789730000007</v>
      </c>
      <c r="W31" s="503">
        <f t="shared" si="15"/>
        <v>1832.3789730000008</v>
      </c>
      <c r="X31" s="656">
        <f t="shared" si="15"/>
        <v>1839.0789730000008</v>
      </c>
      <c r="Y31" s="656">
        <f t="shared" si="15"/>
        <v>1891.4284770000008</v>
      </c>
      <c r="Z31" s="656">
        <f t="shared" si="15"/>
        <v>1898.1284770000009</v>
      </c>
      <c r="AA31" s="656">
        <f t="shared" si="15"/>
        <v>1904.8284770000009</v>
      </c>
      <c r="AB31" s="656">
        <f>AB67</f>
        <v>1911.528477000001</v>
      </c>
      <c r="AC31" s="656">
        <f>AC67</f>
        <v>1956.4482020000009</v>
      </c>
      <c r="AD31" s="656">
        <f t="shared" si="15"/>
        <v>1963.148202000001</v>
      </c>
      <c r="AE31" s="656">
        <f t="shared" si="15"/>
        <v>1969.848202000001</v>
      </c>
      <c r="AF31" s="656">
        <f>AF67</f>
        <v>1976.5482020000011</v>
      </c>
      <c r="AG31" s="656">
        <f>AG67</f>
        <v>2021.8053925010011</v>
      </c>
      <c r="AH31" s="656">
        <f>AH67</f>
        <v>2028.5053925010011</v>
      </c>
      <c r="AI31" s="656">
        <f t="shared" ref="AI31:AJ31" si="16">AI67</f>
        <v>2035.2053925010011</v>
      </c>
      <c r="AJ31" s="656">
        <f t="shared" si="16"/>
        <v>2041.9053925010012</v>
      </c>
      <c r="AK31" s="656">
        <f t="shared" ref="AK31:AN31" si="17">AK67</f>
        <v>2089.4772613835244</v>
      </c>
      <c r="AL31" s="656">
        <f t="shared" si="17"/>
        <v>2096.1772613835242</v>
      </c>
      <c r="AM31" s="656">
        <f t="shared" si="17"/>
        <v>2102.877261383524</v>
      </c>
      <c r="AN31" s="656">
        <f t="shared" si="17"/>
        <v>2109.5772613835238</v>
      </c>
    </row>
    <row r="32" spans="2:102" ht="44.9" customHeight="1" x14ac:dyDescent="0.35">
      <c r="B32" s="430" t="s">
        <v>1179</v>
      </c>
      <c r="D32" s="588"/>
      <c r="E32" s="503"/>
      <c r="F32" s="503"/>
      <c r="G32" s="503"/>
      <c r="H32" s="503"/>
      <c r="I32" s="503"/>
      <c r="J32" s="503"/>
      <c r="K32" s="503"/>
      <c r="L32" s="503"/>
      <c r="M32" s="503"/>
      <c r="N32" s="503"/>
      <c r="O32" s="503"/>
      <c r="P32" s="503"/>
      <c r="Q32" s="503"/>
      <c r="R32" s="503"/>
      <c r="S32" s="660">
        <f>'IRA and CHIPS'!E191</f>
        <v>-0.622</v>
      </c>
      <c r="T32" s="660">
        <f>'IRA and CHIPS'!F191</f>
        <v>21.89</v>
      </c>
      <c r="U32" s="660">
        <f>'IRA and CHIPS'!G191</f>
        <v>21.89</v>
      </c>
      <c r="V32" s="660">
        <f>'IRA and CHIPS'!H191</f>
        <v>21.89</v>
      </c>
      <c r="W32" s="660">
        <f>'IRA and CHIPS'!I191</f>
        <v>21.89</v>
      </c>
      <c r="X32" s="671">
        <f>'IRA and CHIPS'!J191</f>
        <v>15.439</v>
      </c>
      <c r="Y32" s="671">
        <f>'IRA and CHIPS'!K191</f>
        <v>15.439</v>
      </c>
      <c r="Z32" s="671">
        <f>'IRA and CHIPS'!L191</f>
        <v>15.439</v>
      </c>
      <c r="AA32" s="671">
        <f>'IRA and CHIPS'!M191</f>
        <v>15.439</v>
      </c>
      <c r="AB32" s="671">
        <f>'IRA and CHIPS'!N191</f>
        <v>16.966999999999999</v>
      </c>
      <c r="AC32" s="671">
        <f>'IRA and CHIPS'!O191</f>
        <v>16.966999999999999</v>
      </c>
      <c r="AD32" s="671">
        <f>'IRA and CHIPS'!P191</f>
        <v>16.966999999999999</v>
      </c>
      <c r="AE32" s="671">
        <f>'IRA and CHIPS'!Q191</f>
        <v>16.966999999999999</v>
      </c>
      <c r="AF32" s="671">
        <f>'IRA and CHIPS'!R191</f>
        <v>0.72799999999999998</v>
      </c>
      <c r="AG32" s="671">
        <f>'IRA and CHIPS'!S191</f>
        <v>0.72799999999999998</v>
      </c>
      <c r="AH32" s="671">
        <f>0</f>
        <v>0</v>
      </c>
      <c r="AI32" s="671">
        <f>0</f>
        <v>0</v>
      </c>
      <c r="AJ32" s="671">
        <f>0</f>
        <v>0</v>
      </c>
      <c r="AK32" s="671">
        <f>0</f>
        <v>0</v>
      </c>
      <c r="AL32" s="671">
        <f>0</f>
        <v>0</v>
      </c>
      <c r="AM32" s="671">
        <f>0</f>
        <v>0</v>
      </c>
      <c r="AN32" s="671">
        <f>0</f>
        <v>0</v>
      </c>
    </row>
    <row r="33" spans="2:40" ht="31.4" customHeight="1" x14ac:dyDescent="0.35">
      <c r="B33" s="577" t="s">
        <v>798</v>
      </c>
      <c r="C33" s="263"/>
      <c r="D33" s="560">
        <f t="shared" ref="D33:R33" si="18">D31+SUM(D26:D29)+D32</f>
        <v>1440.9</v>
      </c>
      <c r="E33" s="560">
        <f t="shared" si="18"/>
        <v>1500.7000000000003</v>
      </c>
      <c r="F33" s="560">
        <f t="shared" si="18"/>
        <v>1505.8999999999996</v>
      </c>
      <c r="G33" s="560">
        <f t="shared" si="18"/>
        <v>1512.6999999999998</v>
      </c>
      <c r="H33" s="560">
        <f t="shared" si="18"/>
        <v>1520.8000000000002</v>
      </c>
      <c r="I33" s="560">
        <f t="shared" si="18"/>
        <v>1572.4</v>
      </c>
      <c r="J33" s="560">
        <f t="shared" si="18"/>
        <v>1649.3000000000004</v>
      </c>
      <c r="K33" s="560">
        <f t="shared" si="18"/>
        <v>1804.1</v>
      </c>
      <c r="L33" s="560">
        <f t="shared" si="18"/>
        <v>1687.3999999999999</v>
      </c>
      <c r="M33" s="560">
        <f t="shared" si="18"/>
        <v>1744.3000000000004</v>
      </c>
      <c r="N33" s="560">
        <f t="shared" si="18"/>
        <v>1748.4781600000001</v>
      </c>
      <c r="O33" s="560">
        <f t="shared" si="18"/>
        <v>1919.3298399999999</v>
      </c>
      <c r="P33" s="560">
        <f t="shared" si="18"/>
        <v>1899.5239999999999</v>
      </c>
      <c r="Q33" s="560">
        <f t="shared" si="18"/>
        <v>1929.424</v>
      </c>
      <c r="R33" s="560">
        <f t="shared" si="18"/>
        <v>1935.4239999999995</v>
      </c>
      <c r="S33" s="560">
        <f>S31+SUM(S26:S29)+S32</f>
        <v>1929.3240000000001</v>
      </c>
      <c r="T33" s="682">
        <f>T31+SUM(T26:T29)+T32</f>
        <v>2003.6840000000002</v>
      </c>
      <c r="U33" s="682">
        <f>U31+SUM(U26:U29)+U32</f>
        <v>2013.7840000000001</v>
      </c>
      <c r="V33" s="560">
        <f>V31+SUM(V26:V29)+V32</f>
        <v>2002.924</v>
      </c>
      <c r="W33" s="560">
        <f>W31+SUM(W26:W29)+W32</f>
        <v>2013.7240000000002</v>
      </c>
      <c r="X33" s="562">
        <f t="shared" ref="X33" si="19">X31+SUM(X26:X29)+X32</f>
        <v>2019.2990000000002</v>
      </c>
      <c r="Y33" s="562">
        <f>Y31+SUM(Y26:Y29)+Y32</f>
        <v>2111.2989999999995</v>
      </c>
      <c r="Z33" s="562">
        <f t="shared" ref="Z33" si="20">Z31+SUM(Z26:Z29)+Z32</f>
        <v>2135.3989999999999</v>
      </c>
      <c r="AA33" s="562">
        <f t="shared" ref="AA33" si="21">AA31+SUM(AA26:AA29)+AA32</f>
        <v>2152.1989999999996</v>
      </c>
      <c r="AB33" s="562">
        <f t="shared" ref="AB33" si="22">AB31+SUM(AB26:AB29)+AB32</f>
        <v>2169.998</v>
      </c>
      <c r="AC33" s="562">
        <f>AC31+SUM(AC26:AC29)+AC32</f>
        <v>2262.2980000000002</v>
      </c>
      <c r="AD33" s="562">
        <f t="shared" ref="AD33:AE33" si="23">AD31+SUM(AD26:AD29)+AD32</f>
        <v>2268.998</v>
      </c>
      <c r="AE33" s="562">
        <f t="shared" si="23"/>
        <v>2275.6980000000003</v>
      </c>
      <c r="AF33" s="562">
        <f>AF31+SUM(AF26:AF29)+AF32</f>
        <v>2258.1980000000003</v>
      </c>
      <c r="AG33" s="562">
        <f>AG31+SUM(AG26:AG29)+AG32</f>
        <v>2303.4551905010003</v>
      </c>
      <c r="AH33" s="562">
        <f>AH31+SUM(AH26:AH29)+AH32</f>
        <v>2309.427190501</v>
      </c>
      <c r="AI33" s="562">
        <f>AI31+SUM(AI26:AI29)+AI32</f>
        <v>2317.1271905010003</v>
      </c>
      <c r="AJ33" s="562">
        <f t="shared" ref="AJ33:AN33" si="24">AJ31+SUM(AJ26:AJ29)+AJ32</f>
        <v>2316.6721905010004</v>
      </c>
      <c r="AK33" s="562">
        <f t="shared" si="24"/>
        <v>2365.2440593835236</v>
      </c>
      <c r="AL33" s="562">
        <f t="shared" si="24"/>
        <v>2372.9440593835234</v>
      </c>
      <c r="AM33" s="562">
        <f t="shared" si="24"/>
        <v>2380.6440593835232</v>
      </c>
      <c r="AN33" s="562">
        <f t="shared" si="24"/>
        <v>2366.699059383523</v>
      </c>
    </row>
    <row r="34" spans="2:40" ht="31.4" customHeight="1" x14ac:dyDescent="0.35">
      <c r="B34" s="577"/>
      <c r="C34" s="263"/>
      <c r="D34" s="560"/>
      <c r="E34" s="560"/>
      <c r="F34" s="560"/>
      <c r="G34" s="560"/>
      <c r="H34" s="560"/>
      <c r="I34" s="560"/>
      <c r="J34" s="560"/>
      <c r="K34" s="560"/>
      <c r="L34" s="560"/>
      <c r="M34" s="560"/>
      <c r="N34" s="560"/>
      <c r="O34" s="560"/>
      <c r="P34" s="560"/>
      <c r="Q34" s="560"/>
      <c r="R34" s="560"/>
      <c r="S34" s="560"/>
      <c r="T34" s="560"/>
      <c r="U34" s="560"/>
      <c r="V34" s="560"/>
      <c r="W34" s="560"/>
      <c r="X34" s="562"/>
      <c r="Y34" s="562"/>
      <c r="Z34" s="562"/>
      <c r="AA34" s="562"/>
      <c r="AB34" s="562"/>
      <c r="AC34" s="562"/>
      <c r="AD34" s="562"/>
      <c r="AE34" s="562"/>
      <c r="AF34" s="562"/>
      <c r="AG34" s="562"/>
      <c r="AH34" s="562"/>
      <c r="AI34" s="562"/>
      <c r="AJ34" s="562"/>
      <c r="AK34" s="562"/>
      <c r="AL34" s="562"/>
      <c r="AM34" s="562"/>
      <c r="AN34" s="562"/>
    </row>
    <row r="35" spans="2:40" ht="31.4" customHeight="1" x14ac:dyDescent="0.35">
      <c r="B35" s="1398" t="s">
        <v>471</v>
      </c>
      <c r="C35" s="1399"/>
      <c r="D35" s="573"/>
      <c r="E35" s="574"/>
      <c r="F35" s="574"/>
      <c r="G35" s="574"/>
      <c r="H35" s="574"/>
      <c r="I35" s="574"/>
      <c r="J35" s="574"/>
      <c r="K35" s="574"/>
      <c r="L35" s="574"/>
      <c r="M35" s="574"/>
      <c r="N35" s="574"/>
      <c r="O35" s="574"/>
      <c r="P35" s="574"/>
      <c r="Q35" s="574"/>
      <c r="R35" s="574"/>
      <c r="S35" s="574"/>
      <c r="T35" s="560"/>
      <c r="U35" s="574"/>
      <c r="V35" s="560"/>
      <c r="W35" s="560"/>
      <c r="X35" s="562"/>
      <c r="Y35" s="562"/>
      <c r="Z35" s="562"/>
      <c r="AA35" s="562"/>
      <c r="AB35" s="562"/>
      <c r="AC35" s="562"/>
      <c r="AD35" s="562"/>
      <c r="AE35" s="562"/>
      <c r="AF35" s="562"/>
      <c r="AG35" s="562"/>
      <c r="AH35" s="562"/>
      <c r="AI35" s="562"/>
      <c r="AJ35" s="562"/>
      <c r="AK35" s="562"/>
      <c r="AL35" s="562"/>
      <c r="AM35" s="562"/>
      <c r="AN35" s="562"/>
    </row>
    <row r="36" spans="2:40" x14ac:dyDescent="0.35">
      <c r="B36" s="287" t="s">
        <v>803</v>
      </c>
      <c r="C36" s="245" t="s">
        <v>472</v>
      </c>
      <c r="D36" s="272">
        <f>'Haver Pivoted'!GO37</f>
        <v>733.6</v>
      </c>
      <c r="E36" s="229">
        <f>'Haver Pivoted'!GP37</f>
        <v>744.3</v>
      </c>
      <c r="F36" s="229">
        <f>'Haver Pivoted'!GQ37</f>
        <v>762.3</v>
      </c>
      <c r="G36" s="229">
        <f>'Haver Pivoted'!GR37</f>
        <v>772.2</v>
      </c>
      <c r="H36" s="229">
        <f>'Haver Pivoted'!GS37</f>
        <v>772.1</v>
      </c>
      <c r="I36" s="229">
        <f>'Haver Pivoted'!GT37</f>
        <v>760.8</v>
      </c>
      <c r="J36" s="229">
        <f>'Haver Pivoted'!GU37</f>
        <v>811.3</v>
      </c>
      <c r="K36" s="229">
        <f>'Haver Pivoted'!GV37</f>
        <v>850.3</v>
      </c>
      <c r="L36" s="229">
        <f>'Haver Pivoted'!GW37</f>
        <v>840.3</v>
      </c>
      <c r="M36" s="229">
        <f>'Haver Pivoted'!GX37</f>
        <v>869.7</v>
      </c>
      <c r="N36" s="229">
        <f>'Haver Pivoted'!GY37</f>
        <v>913.8</v>
      </c>
      <c r="O36" s="229">
        <f>'Haver Pivoted'!GZ37</f>
        <v>923.8</v>
      </c>
      <c r="P36" s="229">
        <f>'Haver Pivoted'!HA37</f>
        <v>923.5</v>
      </c>
      <c r="Q36" s="229">
        <f>'Haver Pivoted'!HB37</f>
        <v>973.6</v>
      </c>
      <c r="R36" s="229">
        <f>'Haver Pivoted'!HC37</f>
        <v>1010.5</v>
      </c>
      <c r="S36" s="210">
        <f>'Haver Pivoted'!HD37</f>
        <v>1032.5999999999999</v>
      </c>
      <c r="T36" s="210">
        <f>'Haver Pivoted'!HE37</f>
        <v>1096.5999999999999</v>
      </c>
      <c r="U36" s="210">
        <f>'Haver Pivoted'!HF37</f>
        <v>1083.2</v>
      </c>
      <c r="V36" s="659">
        <f>'Haver Pivoted'!HG37</f>
        <v>1111.0999999999999</v>
      </c>
      <c r="W36" s="659">
        <f>'Haver Pivoted'!HH37</f>
        <v>1069.4000000000001</v>
      </c>
      <c r="X36" s="659">
        <f>'Haver Pivoted'!HI37</f>
        <v>1061</v>
      </c>
      <c r="Y36" s="659">
        <f>'Haver Pivoted'!HJ37</f>
        <v>1113.5</v>
      </c>
      <c r="Z36" s="659">
        <f>'Haver Pivoted'!HK37</f>
        <v>1136.9000000000001</v>
      </c>
      <c r="AA36" s="659">
        <f>'Haver Pivoted'!HL37</f>
        <v>1154</v>
      </c>
      <c r="AB36" s="659">
        <f>'Haver Pivoted'!HM37</f>
        <v>1162.5</v>
      </c>
      <c r="AC36" s="659">
        <f>'Haver Pivoted'!HN37</f>
        <v>1176.2</v>
      </c>
      <c r="AD36" s="290"/>
      <c r="AE36" s="290"/>
      <c r="AF36" s="290"/>
      <c r="AG36" s="290"/>
      <c r="AH36" s="290"/>
      <c r="AI36" s="290"/>
      <c r="AJ36" s="290"/>
      <c r="AK36" s="290"/>
      <c r="AL36" s="290"/>
      <c r="AM36" s="290"/>
      <c r="AN36" s="290"/>
    </row>
    <row r="37" spans="2:40" x14ac:dyDescent="0.35">
      <c r="B37" s="559" t="s">
        <v>209</v>
      </c>
      <c r="C37" s="245"/>
      <c r="D37" s="588">
        <f>Medicaid!D30</f>
        <v>589.5</v>
      </c>
      <c r="E37" s="503">
        <f>Medicaid!E30</f>
        <v>598.70000000000005</v>
      </c>
      <c r="F37" s="503">
        <f>Medicaid!F30</f>
        <v>614.4</v>
      </c>
      <c r="G37" s="503">
        <f>Medicaid!G30</f>
        <v>622.4</v>
      </c>
      <c r="H37" s="503">
        <f>Medicaid!H30</f>
        <v>620.6</v>
      </c>
      <c r="I37" s="503">
        <f>Medicaid!I30</f>
        <v>606.5</v>
      </c>
      <c r="J37" s="503">
        <f>Medicaid!J30</f>
        <v>654.6</v>
      </c>
      <c r="K37" s="503">
        <f>Medicaid!K30</f>
        <v>690.8</v>
      </c>
      <c r="L37" s="503">
        <f>Medicaid!L30</f>
        <v>678.6</v>
      </c>
      <c r="M37" s="503">
        <f>Medicaid!M30</f>
        <v>704.9</v>
      </c>
      <c r="N37" s="503">
        <f>Medicaid!N30</f>
        <v>745.6</v>
      </c>
      <c r="O37" s="503">
        <f>Medicaid!O30</f>
        <v>749.2</v>
      </c>
      <c r="P37" s="503">
        <f>Medicaid!P30</f>
        <v>746.3</v>
      </c>
      <c r="Q37" s="503">
        <f>Medicaid!Q30</f>
        <v>791.9</v>
      </c>
      <c r="R37" s="503">
        <f>Medicaid!R30</f>
        <v>819.2</v>
      </c>
      <c r="S37" s="210">
        <f>Medicaid!S30</f>
        <v>819</v>
      </c>
      <c r="T37" s="503">
        <f>Medicaid!T30</f>
        <v>827.5</v>
      </c>
      <c r="U37" s="503">
        <f>Medicaid!U30</f>
        <v>877.6</v>
      </c>
      <c r="V37" s="503">
        <f>Medicaid!V30</f>
        <v>911.6</v>
      </c>
      <c r="W37" s="503">
        <f>Medicaid!W30</f>
        <v>867.2</v>
      </c>
      <c r="X37" s="656">
        <f>Medicaid!X30</f>
        <v>856.2</v>
      </c>
      <c r="Y37" s="656">
        <f>Medicaid!Y30</f>
        <v>904.8</v>
      </c>
      <c r="Z37" s="656">
        <f>Medicaid!Z30</f>
        <v>924.7</v>
      </c>
      <c r="AA37" s="656">
        <f>Medicaid!AA30</f>
        <v>932.4</v>
      </c>
      <c r="AB37" s="656">
        <f>Medicaid!AB30</f>
        <v>944.8</v>
      </c>
      <c r="AC37" s="656">
        <f>Medicaid!AC30</f>
        <v>957.6</v>
      </c>
      <c r="AD37" s="656">
        <f>Medicaid!AD30</f>
        <v>969.02169234293717</v>
      </c>
      <c r="AE37" s="656">
        <f>Medicaid!AE30</f>
        <v>985.63925302097391</v>
      </c>
      <c r="AF37" s="656">
        <f>Medicaid!AF30</f>
        <v>1000.5924493152195</v>
      </c>
      <c r="AG37" s="656">
        <f>Medicaid!AG30</f>
        <v>1015.8181842069388</v>
      </c>
      <c r="AH37" s="656">
        <f>Medicaid!AH30</f>
        <v>1031.2756048395925</v>
      </c>
      <c r="AI37" s="656">
        <f>Medicaid!AI30</f>
        <v>1046.9682367101718</v>
      </c>
      <c r="AJ37" s="656">
        <f>Medicaid!AJ30</f>
        <v>1044.1395419917014</v>
      </c>
      <c r="AK37" s="656">
        <f>Medicaid!AK30</f>
        <v>1059.7186416912505</v>
      </c>
      <c r="AL37" s="656">
        <f>Medicaid!AL30</f>
        <v>1075.5301895815705</v>
      </c>
      <c r="AM37" s="656">
        <f>Medicaid!AM30</f>
        <v>1091.577653909379</v>
      </c>
      <c r="AN37" s="656" t="e">
        <f>Medicaid!AN30</f>
        <v>#DIV/0!</v>
      </c>
    </row>
    <row r="38" spans="2:40" ht="14.9" customHeight="1" x14ac:dyDescent="0.35">
      <c r="B38" s="577" t="s">
        <v>804</v>
      </c>
      <c r="C38" s="263"/>
      <c r="D38" s="587">
        <f>D36-D37</f>
        <v>144.10000000000002</v>
      </c>
      <c r="E38" s="560">
        <f t="shared" ref="E38:O38" si="25">E36-E37</f>
        <v>145.59999999999991</v>
      </c>
      <c r="F38" s="560">
        <f t="shared" si="25"/>
        <v>147.89999999999998</v>
      </c>
      <c r="G38" s="560">
        <f>G36-G37</f>
        <v>149.80000000000007</v>
      </c>
      <c r="H38" s="560">
        <f t="shared" si="25"/>
        <v>151.5</v>
      </c>
      <c r="I38" s="560">
        <f t="shared" si="25"/>
        <v>154.29999999999995</v>
      </c>
      <c r="J38" s="560">
        <f t="shared" si="25"/>
        <v>156.69999999999993</v>
      </c>
      <c r="K38" s="560">
        <f t="shared" si="25"/>
        <v>159.5</v>
      </c>
      <c r="L38" s="560">
        <f t="shared" si="25"/>
        <v>161.69999999999993</v>
      </c>
      <c r="M38" s="560">
        <f t="shared" si="25"/>
        <v>164.80000000000007</v>
      </c>
      <c r="N38" s="560">
        <f t="shared" si="25"/>
        <v>168.19999999999993</v>
      </c>
      <c r="O38" s="560">
        <f t="shared" si="25"/>
        <v>174.59999999999991</v>
      </c>
      <c r="P38" s="560">
        <f>P36-P37</f>
        <v>177.20000000000005</v>
      </c>
      <c r="Q38" s="560">
        <f>Q36-Q37</f>
        <v>181.70000000000005</v>
      </c>
      <c r="R38" s="560">
        <f>R36-R37</f>
        <v>191.29999999999995</v>
      </c>
      <c r="S38" s="210">
        <f>S36-S37</f>
        <v>213.59999999999991</v>
      </c>
      <c r="T38" s="210">
        <f>T36-T37</f>
        <v>269.09999999999991</v>
      </c>
      <c r="U38" s="560">
        <f>T38*(1+AVERAGE($F$40:$I$40))+U39</f>
        <v>203.03380700109631</v>
      </c>
      <c r="V38" s="560">
        <f>U38*(1+AVERAGE($F$40:$I$40))+V39</f>
        <v>206.0018330562437</v>
      </c>
      <c r="W38" s="560">
        <f t="shared" ref="W38:AA38" si="26">V38*(1+AVERAGE($F$40:$I$40))</f>
        <v>209.01324685451698</v>
      </c>
      <c r="X38" s="562">
        <f>W38*(1+AVERAGE($F$40:$I$40))</f>
        <v>212.06868265458453</v>
      </c>
      <c r="Y38" s="562">
        <f t="shared" si="26"/>
        <v>215.16878398695127</v>
      </c>
      <c r="Z38" s="562">
        <f t="shared" si="26"/>
        <v>218.31420378949775</v>
      </c>
      <c r="AA38" s="562">
        <f t="shared" si="26"/>
        <v>221.50560454500092</v>
      </c>
      <c r="AB38" s="562">
        <f>AA38*(1+AVERAGE($F$40:$I$40))</f>
        <v>224.74365842066501</v>
      </c>
      <c r="AC38" s="562">
        <f>AB38*(1+AVERAGE($F$40:$I$40))</f>
        <v>228.02904740969223</v>
      </c>
      <c r="AD38" s="562">
        <f>AC38*(1+AVERAGE($F$40:$I$40))</f>
        <v>231.36246347492295</v>
      </c>
      <c r="AE38" s="562">
        <f>AD38*(1+AVERAGE($F$40:$I$40))</f>
        <v>234.7446086945757</v>
      </c>
      <c r="AF38" s="562">
        <f t="shared" ref="AF38:AH38" si="27">AE38*(1+AVERAGE($F$40:$I$40))</f>
        <v>238.17619541011769</v>
      </c>
      <c r="AG38" s="562">
        <f>AF38*(1+AVERAGE($F$40:$I$40))</f>
        <v>241.65794637629688</v>
      </c>
      <c r="AH38" s="562">
        <f t="shared" si="27"/>
        <v>245.19059491336728</v>
      </c>
      <c r="AI38" s="562">
        <f t="shared" ref="AI38" si="28">AH38*(1+AVERAGE($F$40:$I$40))</f>
        <v>248.77488506153966</v>
      </c>
      <c r="AJ38" s="562">
        <f>AI38*(1+AVERAGE($F$40:$I$40))</f>
        <v>252.41157173768991</v>
      </c>
      <c r="AK38" s="562">
        <f t="shared" ref="AK38:AN38" si="29">AJ38*(1+AVERAGE($F$40:$I$40))</f>
        <v>256.10142089435828</v>
      </c>
      <c r="AL38" s="562">
        <f t="shared" si="29"/>
        <v>259.84520968107307</v>
      </c>
      <c r="AM38" s="562">
        <f t="shared" si="29"/>
        <v>263.64372660803241</v>
      </c>
      <c r="AN38" s="562">
        <f t="shared" si="29"/>
        <v>267.49777171217886</v>
      </c>
    </row>
    <row r="39" spans="2:40" ht="14.9" customHeight="1" x14ac:dyDescent="0.35">
      <c r="B39" s="577" t="s">
        <v>1688</v>
      </c>
      <c r="C39" s="263"/>
      <c r="D39" s="587"/>
      <c r="E39" s="560"/>
      <c r="F39" s="560"/>
      <c r="G39" s="560"/>
      <c r="H39" s="560"/>
      <c r="I39" s="560"/>
      <c r="J39" s="560"/>
      <c r="K39" s="560"/>
      <c r="L39" s="560"/>
      <c r="M39" s="560"/>
      <c r="N39" s="560"/>
      <c r="O39" s="560"/>
      <c r="P39" s="560"/>
      <c r="Q39" s="560"/>
      <c r="R39" s="560"/>
      <c r="S39" s="210"/>
      <c r="T39" s="560"/>
      <c r="U39" s="560">
        <v>-70</v>
      </c>
      <c r="V39" s="560"/>
      <c r="W39" s="560"/>
      <c r="X39" s="562"/>
      <c r="Y39" s="562"/>
      <c r="Z39" s="562"/>
      <c r="AA39" s="562"/>
      <c r="AB39" s="562"/>
      <c r="AC39" s="562"/>
      <c r="AD39" s="562"/>
      <c r="AE39" s="562"/>
      <c r="AF39" s="562"/>
      <c r="AG39" s="562"/>
      <c r="AH39" s="562"/>
      <c r="AI39" s="562"/>
      <c r="AJ39" s="562"/>
      <c r="AK39" s="562"/>
      <c r="AL39" s="562"/>
      <c r="AM39" s="562"/>
      <c r="AN39" s="562"/>
    </row>
    <row r="40" spans="2:40" x14ac:dyDescent="0.35">
      <c r="B40" s="701" t="s">
        <v>805</v>
      </c>
      <c r="C40" s="367"/>
      <c r="D40" s="589"/>
      <c r="E40" s="576">
        <f>E38/D38-1</f>
        <v>1.0409437890353201E-2</v>
      </c>
      <c r="F40" s="576">
        <f t="shared" ref="F40:N40" si="30">F38/E38-1</f>
        <v>1.5796703296703685E-2</v>
      </c>
      <c r="G40" s="576">
        <f>G38/F38-1</f>
        <v>1.2846517917512346E-2</v>
      </c>
      <c r="H40" s="576">
        <f t="shared" si="30"/>
        <v>1.1348464619492127E-2</v>
      </c>
      <c r="I40" s="576">
        <f t="shared" si="30"/>
        <v>1.8481848184818128E-2</v>
      </c>
      <c r="J40" s="576">
        <f t="shared" si="30"/>
        <v>1.5554115359688758E-2</v>
      </c>
      <c r="K40" s="576">
        <f t="shared" si="30"/>
        <v>1.7868538608807105E-2</v>
      </c>
      <c r="L40" s="576">
        <f t="shared" si="30"/>
        <v>1.3793103448275446E-2</v>
      </c>
      <c r="M40" s="576">
        <f t="shared" si="30"/>
        <v>1.9171304885591489E-2</v>
      </c>
      <c r="N40" s="576">
        <f t="shared" si="30"/>
        <v>2.0631067961164318E-2</v>
      </c>
      <c r="O40" s="576">
        <f>O38/N38-1</f>
        <v>3.8049940546967864E-2</v>
      </c>
      <c r="P40" s="576">
        <f t="shared" ref="P40:S40" si="31">P38/O38-1</f>
        <v>1.4891179839634283E-2</v>
      </c>
      <c r="Q40" s="576">
        <f t="shared" si="31"/>
        <v>2.5395033860045046E-2</v>
      </c>
      <c r="R40" s="576">
        <f t="shared" si="31"/>
        <v>5.2834342322509054E-2</v>
      </c>
      <c r="S40" s="645">
        <f t="shared" si="31"/>
        <v>0.11657083115525335</v>
      </c>
      <c r="T40" s="561"/>
      <c r="U40" s="561"/>
      <c r="V40" s="561"/>
      <c r="W40" s="561"/>
      <c r="X40" s="584"/>
      <c r="Y40" s="584"/>
      <c r="Z40" s="584"/>
      <c r="AA40" s="584"/>
      <c r="AB40" s="584"/>
      <c r="AC40" s="584"/>
      <c r="AD40" s="584"/>
      <c r="AE40" s="584"/>
      <c r="AF40" s="584"/>
      <c r="AG40" s="584"/>
      <c r="AH40" s="584"/>
      <c r="AI40" s="584"/>
      <c r="AJ40" s="584"/>
      <c r="AK40" s="584"/>
      <c r="AL40" s="584"/>
      <c r="AM40" s="584"/>
      <c r="AN40" s="584"/>
    </row>
    <row r="44" spans="2:40" x14ac:dyDescent="0.35">
      <c r="P44" s="493"/>
      <c r="Q44" s="493"/>
    </row>
    <row r="45" spans="2:40" x14ac:dyDescent="0.35">
      <c r="B45" s="523" t="s">
        <v>351</v>
      </c>
      <c r="D45" s="503"/>
      <c r="E45" s="503"/>
      <c r="F45" s="503"/>
      <c r="G45" s="503"/>
      <c r="H45" s="503"/>
      <c r="I45" s="503"/>
      <c r="J45" s="503"/>
      <c r="K45" s="503"/>
      <c r="L45" s="503"/>
      <c r="M45" s="503"/>
      <c r="N45" s="503"/>
      <c r="O45" s="503"/>
      <c r="P45" s="503"/>
      <c r="Q45" s="503"/>
      <c r="R45" s="503"/>
      <c r="S45" s="503"/>
      <c r="T45" s="503"/>
      <c r="U45" s="503"/>
      <c r="V45" s="503"/>
      <c r="W45" s="503"/>
      <c r="X45" s="503"/>
      <c r="Y45" s="503"/>
      <c r="Z45" s="503"/>
      <c r="AA45" s="503"/>
      <c r="AB45" s="503"/>
      <c r="AC45" s="503"/>
    </row>
    <row r="46" spans="2:40" ht="45.75" customHeight="1" x14ac:dyDescent="0.35">
      <c r="B46" s="1400" t="s">
        <v>475</v>
      </c>
      <c r="C46" s="1400"/>
      <c r="D46" s="1363"/>
      <c r="E46" s="1363"/>
      <c r="F46" s="1363"/>
      <c r="G46" s="1363"/>
      <c r="H46" s="1363"/>
      <c r="I46" s="1363"/>
      <c r="J46" s="1363"/>
      <c r="K46" s="1363"/>
      <c r="L46" s="1363"/>
      <c r="M46" s="1363"/>
      <c r="N46" s="1363"/>
      <c r="O46" s="1363"/>
      <c r="P46" s="1363"/>
      <c r="Q46" s="1363"/>
      <c r="R46" s="1363"/>
      <c r="S46" s="1363"/>
      <c r="T46" s="1363"/>
      <c r="U46" s="1363"/>
      <c r="V46" s="1363"/>
      <c r="W46" s="1363"/>
      <c r="X46" s="1363"/>
      <c r="Y46" s="1363"/>
      <c r="Z46" s="1363"/>
      <c r="AA46" s="1363"/>
      <c r="AB46" s="1363"/>
      <c r="AC46" s="1363"/>
    </row>
    <row r="47" spans="2:40" ht="14.9" customHeight="1" x14ac:dyDescent="0.35">
      <c r="B47" s="1258" t="s">
        <v>476</v>
      </c>
      <c r="C47" s="1350"/>
      <c r="D47" s="1260" t="s">
        <v>279</v>
      </c>
      <c r="E47" s="1260"/>
      <c r="F47" s="1260"/>
      <c r="G47" s="1260"/>
      <c r="H47" s="1260"/>
      <c r="I47" s="1260"/>
      <c r="J47" s="1260"/>
      <c r="K47" s="1260"/>
      <c r="L47" s="1260"/>
      <c r="M47" s="1260"/>
      <c r="N47" s="1260"/>
      <c r="O47" s="1260"/>
      <c r="P47" s="1260"/>
      <c r="Q47" s="1260"/>
      <c r="R47" s="1260"/>
      <c r="S47" s="1260"/>
      <c r="T47" s="1260"/>
      <c r="U47" s="1260"/>
      <c r="V47" s="1260"/>
      <c r="W47" s="1260"/>
      <c r="X47" s="1260"/>
      <c r="Y47" s="1260"/>
      <c r="Z47" s="1260"/>
      <c r="AA47" s="1260"/>
      <c r="AB47" s="1260"/>
      <c r="AC47" s="1261" t="s">
        <v>280</v>
      </c>
      <c r="AD47" s="1262"/>
      <c r="AE47" s="1262"/>
      <c r="AF47" s="1262"/>
      <c r="AG47" s="1262"/>
      <c r="AH47" s="1262"/>
      <c r="AI47" s="1262"/>
      <c r="AJ47" s="1262"/>
      <c r="AK47" s="1262"/>
      <c r="AL47" s="1262"/>
      <c r="AM47" s="1262"/>
      <c r="AN47" s="1263"/>
    </row>
    <row r="48" spans="2:40" x14ac:dyDescent="0.35">
      <c r="B48" s="1258"/>
      <c r="C48" s="1350"/>
      <c r="D48" s="293">
        <v>2018</v>
      </c>
      <c r="E48" s="1264">
        <v>2019</v>
      </c>
      <c r="F48" s="1359"/>
      <c r="G48" s="1359"/>
      <c r="H48" s="1266"/>
      <c r="I48" s="1264">
        <v>2020</v>
      </c>
      <c r="J48" s="1359"/>
      <c r="K48" s="1359"/>
      <c r="L48" s="1359"/>
      <c r="M48" s="1264">
        <v>2021</v>
      </c>
      <c r="N48" s="1359"/>
      <c r="O48" s="1359"/>
      <c r="P48" s="1359"/>
      <c r="Q48" s="1264">
        <v>2022</v>
      </c>
      <c r="R48" s="1265"/>
      <c r="S48" s="1265"/>
      <c r="T48" s="1266"/>
      <c r="U48" s="299"/>
      <c r="V48" s="439">
        <v>2023</v>
      </c>
      <c r="W48" s="439"/>
      <c r="X48" s="306"/>
      <c r="Y48" s="453"/>
      <c r="Z48" s="439">
        <v>2024</v>
      </c>
      <c r="AA48" s="439"/>
      <c r="AB48" s="306"/>
      <c r="AC48" s="1270">
        <v>2025</v>
      </c>
      <c r="AD48" s="1352"/>
      <c r="AE48" s="1352"/>
      <c r="AF48" s="1272"/>
      <c r="AG48" s="1270">
        <v>2026</v>
      </c>
      <c r="AH48" s="1352"/>
      <c r="AI48" s="1352"/>
      <c r="AJ48" s="1272"/>
      <c r="AK48" s="1270">
        <v>2027</v>
      </c>
      <c r="AL48" s="1352"/>
      <c r="AM48" s="1352"/>
      <c r="AN48" s="1272"/>
    </row>
    <row r="49" spans="2:40" x14ac:dyDescent="0.35">
      <c r="B49" s="1274"/>
      <c r="C49" s="1351"/>
      <c r="D49" s="221" t="s">
        <v>281</v>
      </c>
      <c r="E49" s="221" t="s">
        <v>282</v>
      </c>
      <c r="F49" s="222" t="s">
        <v>283</v>
      </c>
      <c r="G49" s="222" t="s">
        <v>238</v>
      </c>
      <c r="H49" s="228" t="s">
        <v>281</v>
      </c>
      <c r="I49" s="222" t="s">
        <v>282</v>
      </c>
      <c r="J49" s="222" t="s">
        <v>283</v>
      </c>
      <c r="K49" s="222" t="s">
        <v>238</v>
      </c>
      <c r="L49" s="222" t="s">
        <v>281</v>
      </c>
      <c r="M49" s="221" t="s">
        <v>282</v>
      </c>
      <c r="N49" s="222" t="s">
        <v>283</v>
      </c>
      <c r="O49" s="222" t="s">
        <v>238</v>
      </c>
      <c r="P49" s="222" t="s">
        <v>281</v>
      </c>
      <c r="Q49" s="221" t="s">
        <v>282</v>
      </c>
      <c r="R49" s="222" t="s">
        <v>283</v>
      </c>
      <c r="S49" s="222" t="s">
        <v>238</v>
      </c>
      <c r="T49" s="228" t="s">
        <v>281</v>
      </c>
      <c r="U49" s="222" t="s">
        <v>282</v>
      </c>
      <c r="V49" s="283" t="s">
        <v>283</v>
      </c>
      <c r="W49" s="283" t="s">
        <v>238</v>
      </c>
      <c r="X49" s="281" t="s">
        <v>281</v>
      </c>
      <c r="Y49" s="282" t="s">
        <v>282</v>
      </c>
      <c r="Z49" s="288" t="s">
        <v>283</v>
      </c>
      <c r="AA49" s="283" t="s">
        <v>238</v>
      </c>
      <c r="AB49" s="283" t="s">
        <v>281</v>
      </c>
      <c r="AC49" s="282" t="s">
        <v>282</v>
      </c>
      <c r="AD49" s="267" t="s">
        <v>283</v>
      </c>
      <c r="AE49" s="269" t="s">
        <v>238</v>
      </c>
      <c r="AF49" s="269" t="s">
        <v>281</v>
      </c>
      <c r="AG49" s="296" t="s">
        <v>282</v>
      </c>
      <c r="AH49" s="267" t="s">
        <v>283</v>
      </c>
      <c r="AI49" s="269" t="s">
        <v>238</v>
      </c>
      <c r="AJ49" s="298" t="s">
        <v>281</v>
      </c>
      <c r="AK49" s="296" t="s">
        <v>282</v>
      </c>
      <c r="AL49" s="267" t="s">
        <v>283</v>
      </c>
      <c r="AM49" s="269" t="s">
        <v>238</v>
      </c>
      <c r="AN49" s="298" t="s">
        <v>281</v>
      </c>
    </row>
    <row r="50" spans="2:40" x14ac:dyDescent="0.35">
      <c r="B50" s="559" t="s">
        <v>2311</v>
      </c>
      <c r="D50" s="256"/>
      <c r="E50" s="317"/>
      <c r="F50" s="317"/>
      <c r="G50" s="317"/>
      <c r="H50" s="317"/>
      <c r="I50" s="571">
        <f>(I51-AVERAGE($E51:$H51))</f>
        <v>6.9120000000000061</v>
      </c>
      <c r="J50" s="571">
        <f t="shared" ref="J50:N50" si="32">(J51-AVERAGE($E51:$H51))</f>
        <v>50.955000000000005</v>
      </c>
      <c r="K50" s="571">
        <f t="shared" si="32"/>
        <v>51.173999999999999</v>
      </c>
      <c r="L50" s="571">
        <f t="shared" si="32"/>
        <v>51.893999999999998</v>
      </c>
      <c r="M50" s="571">
        <f t="shared" si="32"/>
        <v>91.075000000000017</v>
      </c>
      <c r="N50" s="571">
        <f t="shared" si="32"/>
        <v>100.63400000000001</v>
      </c>
      <c r="O50" s="571">
        <f t="shared" ref="O50:U50" si="33">(O51-AVERAGE($E51:$H51))</f>
        <v>93.89100000000002</v>
      </c>
      <c r="P50" s="571">
        <f t="shared" si="33"/>
        <v>100.22800000000001</v>
      </c>
      <c r="Q50" s="571">
        <f t="shared" si="33"/>
        <v>76.838999999999999</v>
      </c>
      <c r="R50" s="571">
        <f t="shared" si="33"/>
        <v>73.637</v>
      </c>
      <c r="S50" s="572">
        <f t="shared" si="33"/>
        <v>70.649000000000001</v>
      </c>
      <c r="T50" s="565">
        <f t="shared" si="33"/>
        <v>91.718000000000018</v>
      </c>
      <c r="U50" s="572">
        <f t="shared" si="33"/>
        <v>83.695999999999998</v>
      </c>
      <c r="V50" s="572">
        <f t="shared" ref="V50:AC50" si="34">(V51-AVERAGE($E51:$H51))</f>
        <v>51.979000000000006</v>
      </c>
      <c r="W50" s="572">
        <f t="shared" si="34"/>
        <v>51.58400000000001</v>
      </c>
      <c r="X50" s="572">
        <f t="shared" si="34"/>
        <v>38.777999999999999</v>
      </c>
      <c r="Y50" s="572">
        <f t="shared" si="34"/>
        <v>37.295999999999999</v>
      </c>
      <c r="Z50" s="572">
        <f t="shared" si="34"/>
        <v>41.408000000000008</v>
      </c>
      <c r="AA50" s="572">
        <f t="shared" si="34"/>
        <v>48.07800000000001</v>
      </c>
      <c r="AB50" s="572">
        <f t="shared" si="34"/>
        <v>43.804000000000009</v>
      </c>
      <c r="AC50" s="572">
        <f t="shared" si="34"/>
        <v>40.554000000000009</v>
      </c>
      <c r="AD50" s="705">
        <f>AC50+AD52</f>
        <v>40.554000000000009</v>
      </c>
      <c r="AE50" s="705">
        <f t="shared" ref="AE50:AF50" si="35">AD50+AE52</f>
        <v>40.554000000000009</v>
      </c>
      <c r="AF50" s="705">
        <f t="shared" si="35"/>
        <v>32.593000000000011</v>
      </c>
      <c r="AG50" s="705">
        <f t="shared" ref="AG50:AM50" si="36">AF50+AG52</f>
        <v>32.593000000000011</v>
      </c>
      <c r="AH50" s="705">
        <f t="shared" si="36"/>
        <v>32.593000000000011</v>
      </c>
      <c r="AI50" s="705">
        <f t="shared" si="36"/>
        <v>32.593000000000011</v>
      </c>
      <c r="AJ50" s="705">
        <f t="shared" si="36"/>
        <v>24.438000000000009</v>
      </c>
      <c r="AK50" s="705">
        <f t="shared" si="36"/>
        <v>24.438000000000009</v>
      </c>
      <c r="AL50" s="705">
        <f t="shared" si="36"/>
        <v>24.438000000000009</v>
      </c>
      <c r="AM50" s="705">
        <f t="shared" si="36"/>
        <v>24.438000000000009</v>
      </c>
      <c r="AN50" s="705">
        <f>AM50+AN52</f>
        <v>2.7930000000000099</v>
      </c>
    </row>
    <row r="51" spans="2:40" x14ac:dyDescent="0.35">
      <c r="B51" s="559" t="s">
        <v>2306</v>
      </c>
      <c r="C51" s="245" t="s">
        <v>477</v>
      </c>
      <c r="D51" s="272">
        <f>'Haver Pivoted'!GO66</f>
        <v>57.017000000000003</v>
      </c>
      <c r="E51" s="229">
        <f>'Haver Pivoted'!GP66</f>
        <v>55.875</v>
      </c>
      <c r="F51" s="229">
        <f>'Haver Pivoted'!GQ66</f>
        <v>54.335999999999999</v>
      </c>
      <c r="G51" s="229">
        <f>'Haver Pivoted'!GR66</f>
        <v>54.345999999999997</v>
      </c>
      <c r="H51" s="229">
        <f>'Haver Pivoted'!GS66</f>
        <v>54.290999999999997</v>
      </c>
      <c r="I51" s="229">
        <f>'Haver Pivoted'!GT66</f>
        <v>61.624000000000002</v>
      </c>
      <c r="J51" s="229">
        <f>'Haver Pivoted'!GU66</f>
        <v>105.667</v>
      </c>
      <c r="K51" s="229">
        <f>'Haver Pivoted'!GV66</f>
        <v>105.886</v>
      </c>
      <c r="L51" s="229">
        <f>'Haver Pivoted'!GW66</f>
        <v>106.60599999999999</v>
      </c>
      <c r="M51" s="229">
        <f>'Haver Pivoted'!GX66</f>
        <v>145.78700000000001</v>
      </c>
      <c r="N51" s="229">
        <f>'Haver Pivoted'!GY66</f>
        <v>155.346</v>
      </c>
      <c r="O51" s="229">
        <f>'Haver Pivoted'!GZ66</f>
        <v>148.60300000000001</v>
      </c>
      <c r="P51" s="229">
        <f>'Haver Pivoted'!HA66</f>
        <v>154.94</v>
      </c>
      <c r="Q51" s="229">
        <f>'Haver Pivoted'!HB66</f>
        <v>131.55099999999999</v>
      </c>
      <c r="R51" s="229">
        <f>'Haver Pivoted'!HC66</f>
        <v>128.34899999999999</v>
      </c>
      <c r="S51" s="222">
        <f>'Haver Pivoted'!HD66</f>
        <v>125.361</v>
      </c>
      <c r="T51" s="222">
        <f>'Haver Pivoted'!HE66</f>
        <v>146.43</v>
      </c>
      <c r="U51" s="222">
        <f>'Haver Pivoted'!HF66</f>
        <v>138.40799999999999</v>
      </c>
      <c r="V51" s="222">
        <f>'Haver Pivoted'!HG66</f>
        <v>106.691</v>
      </c>
      <c r="W51" s="222">
        <f>'Haver Pivoted'!HH66</f>
        <v>106.29600000000001</v>
      </c>
      <c r="X51" s="222">
        <f>'Haver Pivoted'!HI66</f>
        <v>93.49</v>
      </c>
      <c r="Y51" s="222">
        <f>'Haver Pivoted'!HJ66</f>
        <v>92.007999999999996</v>
      </c>
      <c r="Z51" s="222">
        <f>'Haver Pivoted'!HK66</f>
        <v>96.12</v>
      </c>
      <c r="AA51" s="222">
        <f>'Haver Pivoted'!HL66</f>
        <v>102.79</v>
      </c>
      <c r="AB51" s="222">
        <f>'Haver Pivoted'!HM66</f>
        <v>98.516000000000005</v>
      </c>
      <c r="AC51" s="222">
        <f>'Haver Pivoted'!HN66</f>
        <v>95.266000000000005</v>
      </c>
      <c r="AD51" s="225"/>
      <c r="AE51" s="225"/>
      <c r="AF51" s="225"/>
      <c r="AG51" s="225"/>
      <c r="AH51" s="225"/>
      <c r="AI51" s="225"/>
      <c r="AJ51" s="225"/>
      <c r="AK51" s="225"/>
      <c r="AL51" s="225"/>
      <c r="AM51" s="225"/>
      <c r="AN51" s="225"/>
    </row>
    <row r="52" spans="2:40" x14ac:dyDescent="0.35">
      <c r="B52" s="1216" t="s">
        <v>2310</v>
      </c>
      <c r="C52" s="245"/>
      <c r="D52" s="272"/>
      <c r="E52" s="229"/>
      <c r="F52" s="229"/>
      <c r="G52" s="229"/>
      <c r="H52" s="229"/>
      <c r="I52" s="229"/>
      <c r="J52" s="229"/>
      <c r="K52" s="229"/>
      <c r="L52" s="229"/>
      <c r="M52" s="229"/>
      <c r="N52" s="229"/>
      <c r="O52" s="229"/>
      <c r="P52" s="229"/>
      <c r="Q52" s="229"/>
      <c r="R52" s="229"/>
      <c r="S52" s="222"/>
      <c r="T52" s="222"/>
      <c r="U52" s="222"/>
      <c r="V52" s="222"/>
      <c r="W52" s="222"/>
      <c r="X52" s="222"/>
      <c r="Y52" s="222"/>
      <c r="Z52" s="222"/>
      <c r="AA52" s="222"/>
      <c r="AB52" s="222"/>
      <c r="AC52" s="222"/>
      <c r="AD52" s="225">
        <v>0</v>
      </c>
      <c r="AE52" s="225">
        <v>0</v>
      </c>
      <c r="AF52" s="1217">
        <v>-7.9610000000000003</v>
      </c>
      <c r="AG52" s="1217">
        <v>0</v>
      </c>
      <c r="AH52" s="1217">
        <v>0</v>
      </c>
      <c r="AI52" s="1217">
        <v>0</v>
      </c>
      <c r="AJ52" s="1217">
        <v>-8.1549999999999994</v>
      </c>
      <c r="AK52" s="1217">
        <v>0</v>
      </c>
      <c r="AL52" s="1217">
        <v>0</v>
      </c>
      <c r="AM52" s="1217">
        <v>0</v>
      </c>
      <c r="AN52" s="1217">
        <v>-21.645</v>
      </c>
    </row>
    <row r="53" spans="2:40" ht="29.15" customHeight="1" x14ac:dyDescent="0.35">
      <c r="B53" s="558" t="s">
        <v>478</v>
      </c>
      <c r="C53" s="367"/>
      <c r="D53" s="702"/>
      <c r="E53" s="554"/>
      <c r="F53" s="554"/>
      <c r="G53" s="554"/>
      <c r="H53" s="554"/>
      <c r="I53" s="554"/>
      <c r="J53" s="554">
        <f t="shared" ref="J53:W53" si="37">J51-$H51</f>
        <v>51.376000000000005</v>
      </c>
      <c r="K53" s="554">
        <f t="shared" si="37"/>
        <v>51.594999999999999</v>
      </c>
      <c r="L53" s="554">
        <f t="shared" si="37"/>
        <v>52.314999999999998</v>
      </c>
      <c r="M53" s="554">
        <f t="shared" si="37"/>
        <v>91.496000000000009</v>
      </c>
      <c r="N53" s="554">
        <f>N51-$H51</f>
        <v>101.05500000000001</v>
      </c>
      <c r="O53" s="554">
        <f>O51-$H51</f>
        <v>94.312000000000012</v>
      </c>
      <c r="P53" s="554">
        <f t="shared" si="37"/>
        <v>100.649</v>
      </c>
      <c r="Q53" s="554">
        <f t="shared" si="37"/>
        <v>77.259999999999991</v>
      </c>
      <c r="R53" s="554">
        <f t="shared" si="37"/>
        <v>74.057999999999993</v>
      </c>
      <c r="S53" s="283">
        <f t="shared" si="37"/>
        <v>71.070000000000007</v>
      </c>
      <c r="T53" s="283">
        <f t="shared" si="37"/>
        <v>92.13900000000001</v>
      </c>
      <c r="U53" s="283">
        <f t="shared" si="37"/>
        <v>84.11699999999999</v>
      </c>
      <c r="V53" s="283">
        <f t="shared" si="37"/>
        <v>52.400000000000006</v>
      </c>
      <c r="W53" s="283">
        <f t="shared" si="37"/>
        <v>52.00500000000001</v>
      </c>
      <c r="X53" s="283">
        <f t="shared" ref="X53:Y53" si="38">X51-$H51</f>
        <v>39.198999999999998</v>
      </c>
      <c r="Y53" s="283">
        <f t="shared" si="38"/>
        <v>37.716999999999999</v>
      </c>
      <c r="Z53" s="283">
        <f t="shared" ref="Z53" si="39">Z51-$H51</f>
        <v>41.829000000000008</v>
      </c>
      <c r="AA53" s="283">
        <f t="shared" ref="AA53" si="40">AA51-$H51</f>
        <v>48.499000000000009</v>
      </c>
      <c r="AB53" s="283">
        <f t="shared" ref="AB53:AC53" si="41">AB51-$H51</f>
        <v>44.225000000000009</v>
      </c>
      <c r="AC53" s="283">
        <f t="shared" si="41"/>
        <v>40.975000000000009</v>
      </c>
      <c r="AD53" s="655"/>
      <c r="AE53" s="655"/>
      <c r="AF53" s="655"/>
      <c r="AG53" s="655"/>
      <c r="AH53" s="655"/>
      <c r="AI53" s="655"/>
      <c r="AJ53" s="655"/>
      <c r="AK53" s="655"/>
      <c r="AL53" s="655"/>
      <c r="AM53" s="655"/>
      <c r="AN53" s="655"/>
    </row>
    <row r="54" spans="2:40" ht="29.15" customHeight="1" x14ac:dyDescent="0.35">
      <c r="B54" s="245"/>
      <c r="C54" s="245"/>
      <c r="D54" s="229"/>
      <c r="E54" s="229"/>
      <c r="F54" s="229"/>
      <c r="G54" s="229"/>
      <c r="H54" s="229"/>
      <c r="I54" s="229"/>
      <c r="J54" s="229"/>
      <c r="K54" s="229"/>
      <c r="L54" s="229"/>
      <c r="M54" s="229"/>
      <c r="N54" s="229"/>
      <c r="O54" s="229"/>
      <c r="P54" s="229"/>
      <c r="Q54" s="229" t="s">
        <v>2309</v>
      </c>
      <c r="R54" s="229"/>
      <c r="S54" s="229"/>
      <c r="T54" s="229"/>
      <c r="U54" s="229" t="s">
        <v>2307</v>
      </c>
      <c r="V54" s="229"/>
      <c r="W54" s="229" t="s">
        <v>2308</v>
      </c>
      <c r="X54" s="229"/>
      <c r="Y54" s="229"/>
      <c r="Z54" s="229"/>
      <c r="AA54" s="229"/>
      <c r="AB54" s="229"/>
      <c r="AC54" s="229"/>
    </row>
    <row r="55" spans="2:40" ht="29.15" customHeight="1" x14ac:dyDescent="0.35">
      <c r="B55" s="245"/>
      <c r="C55" s="245"/>
      <c r="D55" s="229"/>
      <c r="E55" s="229"/>
      <c r="F55" s="229"/>
      <c r="G55" s="229"/>
      <c r="H55" s="229"/>
      <c r="I55" s="229"/>
      <c r="J55" s="229"/>
      <c r="K55" s="229"/>
      <c r="L55" s="229"/>
      <c r="M55" s="229"/>
      <c r="N55" s="229"/>
      <c r="O55" s="229"/>
      <c r="P55" s="229"/>
      <c r="Q55" s="229">
        <f>SUM(P51:S51)</f>
        <v>540.20100000000002</v>
      </c>
      <c r="R55" s="229"/>
      <c r="S55" s="229"/>
      <c r="T55" s="229"/>
      <c r="U55" s="229">
        <f>SUM(T51:W51)</f>
        <v>497.82499999999999</v>
      </c>
      <c r="V55" s="229"/>
      <c r="W55">
        <v>112</v>
      </c>
      <c r="X55" s="229"/>
      <c r="Y55" s="229"/>
      <c r="Z55" s="229"/>
      <c r="AA55" s="229"/>
      <c r="AB55" s="229"/>
      <c r="AC55" s="229"/>
    </row>
    <row r="56" spans="2:40" ht="29.15" customHeight="1" x14ac:dyDescent="0.35">
      <c r="B56" s="245"/>
      <c r="C56" s="245"/>
      <c r="D56" s="229"/>
      <c r="E56" s="229"/>
      <c r="F56" s="229"/>
      <c r="G56" s="229"/>
      <c r="H56" s="229"/>
      <c r="I56" s="229"/>
      <c r="J56" s="229"/>
      <c r="K56" s="229"/>
      <c r="L56" s="229"/>
      <c r="M56" s="229"/>
      <c r="N56" s="229"/>
      <c r="O56" s="229"/>
      <c r="P56" s="229"/>
      <c r="Q56" s="229"/>
      <c r="R56" s="229"/>
      <c r="S56" s="229"/>
      <c r="T56" s="229"/>
      <c r="U56" s="229"/>
      <c r="V56" s="229"/>
      <c r="W56" s="229"/>
      <c r="X56" s="229"/>
      <c r="Y56" s="229"/>
      <c r="Z56" s="229"/>
      <c r="AA56" s="229"/>
      <c r="AB56" s="229"/>
      <c r="AC56" s="229"/>
    </row>
    <row r="57" spans="2:40" ht="35.9" customHeight="1" x14ac:dyDescent="0.35"/>
    <row r="58" spans="2:40" x14ac:dyDescent="0.35">
      <c r="B58" s="523" t="s">
        <v>364</v>
      </c>
    </row>
    <row r="59" spans="2:40" x14ac:dyDescent="0.35">
      <c r="B59" s="1401" t="s">
        <v>802</v>
      </c>
      <c r="C59" s="1402"/>
      <c r="D59" s="1260" t="s">
        <v>279</v>
      </c>
      <c r="E59" s="1260"/>
      <c r="F59" s="1260"/>
      <c r="G59" s="1260"/>
      <c r="H59" s="1260"/>
      <c r="I59" s="1260"/>
      <c r="J59" s="1260"/>
      <c r="K59" s="1260"/>
      <c r="L59" s="1260"/>
      <c r="M59" s="1260"/>
      <c r="N59" s="1260"/>
      <c r="O59" s="1260"/>
      <c r="P59" s="1260"/>
      <c r="Q59" s="1260"/>
      <c r="R59" s="1260"/>
      <c r="S59" s="1260"/>
      <c r="T59" s="1260"/>
      <c r="U59" s="1260"/>
      <c r="V59" s="1260"/>
      <c r="W59" s="1260"/>
      <c r="X59" s="1260"/>
      <c r="Y59" s="1260"/>
      <c r="Z59" s="1260"/>
      <c r="AA59" s="1260"/>
      <c r="AB59" s="1260"/>
      <c r="AC59" s="1261" t="s">
        <v>280</v>
      </c>
      <c r="AD59" s="1262"/>
      <c r="AE59" s="1262"/>
      <c r="AF59" s="1262"/>
      <c r="AG59" s="1262"/>
      <c r="AH59" s="1262"/>
      <c r="AI59" s="1262"/>
      <c r="AJ59" s="1262"/>
      <c r="AK59" s="1262"/>
      <c r="AL59" s="1262"/>
      <c r="AM59" s="1262"/>
      <c r="AN59" s="1263"/>
    </row>
    <row r="60" spans="2:40" x14ac:dyDescent="0.35">
      <c r="B60" s="1403"/>
      <c r="C60" s="1404"/>
      <c r="D60" s="293">
        <v>2018</v>
      </c>
      <c r="E60" s="1264">
        <v>2019</v>
      </c>
      <c r="F60" s="1359"/>
      <c r="G60" s="1359"/>
      <c r="H60" s="1266"/>
      <c r="I60" s="1264">
        <v>2020</v>
      </c>
      <c r="J60" s="1359"/>
      <c r="K60" s="1359"/>
      <c r="L60" s="1359"/>
      <c r="M60" s="1264">
        <v>2021</v>
      </c>
      <c r="N60" s="1359"/>
      <c r="O60" s="1359"/>
      <c r="P60" s="1359"/>
      <c r="Q60" s="1264">
        <v>2022</v>
      </c>
      <c r="R60" s="1265"/>
      <c r="S60" s="1265"/>
      <c r="T60" s="1266"/>
      <c r="U60" s="299"/>
      <c r="V60" s="439">
        <v>2023</v>
      </c>
      <c r="W60" s="439"/>
      <c r="X60" s="306"/>
      <c r="Y60" s="453"/>
      <c r="Z60" s="439">
        <v>2024</v>
      </c>
      <c r="AA60" s="299"/>
      <c r="AB60" s="306"/>
      <c r="AC60" s="1270">
        <v>2025</v>
      </c>
      <c r="AD60" s="1352"/>
      <c r="AE60" s="1352"/>
      <c r="AF60" s="1272"/>
      <c r="AG60" s="1270">
        <v>2026</v>
      </c>
      <c r="AH60" s="1352"/>
      <c r="AI60" s="1352"/>
      <c r="AJ60" s="1272"/>
      <c r="AK60" s="1270">
        <v>2027</v>
      </c>
      <c r="AL60" s="1352"/>
      <c r="AM60" s="1352"/>
      <c r="AN60" s="1272"/>
    </row>
    <row r="61" spans="2:40" x14ac:dyDescent="0.35">
      <c r="B61" s="1403"/>
      <c r="C61" s="1404"/>
      <c r="D61" s="221" t="s">
        <v>281</v>
      </c>
      <c r="E61" s="221" t="s">
        <v>282</v>
      </c>
      <c r="F61" s="222" t="s">
        <v>283</v>
      </c>
      <c r="G61" s="222" t="s">
        <v>238</v>
      </c>
      <c r="H61" s="228" t="s">
        <v>281</v>
      </c>
      <c r="I61" s="222" t="s">
        <v>282</v>
      </c>
      <c r="J61" s="222" t="s">
        <v>283</v>
      </c>
      <c r="K61" s="222" t="s">
        <v>238</v>
      </c>
      <c r="L61" s="222" t="s">
        <v>281</v>
      </c>
      <c r="M61" s="221" t="s">
        <v>282</v>
      </c>
      <c r="N61" s="222" t="s">
        <v>283</v>
      </c>
      <c r="O61" s="222" t="s">
        <v>238</v>
      </c>
      <c r="P61" s="222" t="s">
        <v>281</v>
      </c>
      <c r="Q61" s="221" t="s">
        <v>282</v>
      </c>
      <c r="R61" s="222" t="s">
        <v>283</v>
      </c>
      <c r="S61" s="222" t="s">
        <v>238</v>
      </c>
      <c r="T61" s="228" t="s">
        <v>281</v>
      </c>
      <c r="U61" s="222" t="s">
        <v>282</v>
      </c>
      <c r="V61" s="283" t="s">
        <v>283</v>
      </c>
      <c r="W61" s="283" t="s">
        <v>238</v>
      </c>
      <c r="X61" s="281" t="s">
        <v>281</v>
      </c>
      <c r="Y61" s="282" t="s">
        <v>282</v>
      </c>
      <c r="Z61" s="288" t="s">
        <v>283</v>
      </c>
      <c r="AA61" s="283" t="s">
        <v>238</v>
      </c>
      <c r="AB61" s="283" t="s">
        <v>281</v>
      </c>
      <c r="AC61" s="282" t="s">
        <v>282</v>
      </c>
      <c r="AD61" s="267" t="s">
        <v>283</v>
      </c>
      <c r="AE61" s="269" t="s">
        <v>238</v>
      </c>
      <c r="AF61" s="269" t="s">
        <v>281</v>
      </c>
      <c r="AG61" s="296" t="s">
        <v>282</v>
      </c>
      <c r="AH61" s="267" t="s">
        <v>283</v>
      </c>
      <c r="AI61" s="269" t="s">
        <v>238</v>
      </c>
      <c r="AJ61" s="298" t="s">
        <v>281</v>
      </c>
      <c r="AK61" s="296" t="s">
        <v>282</v>
      </c>
      <c r="AL61" s="267" t="s">
        <v>283</v>
      </c>
      <c r="AM61" s="269" t="s">
        <v>238</v>
      </c>
      <c r="AN61" s="298" t="s">
        <v>281</v>
      </c>
    </row>
    <row r="62" spans="2:40" ht="25.75" customHeight="1" x14ac:dyDescent="0.35">
      <c r="B62" s="669" t="s">
        <v>465</v>
      </c>
      <c r="C62" s="555" t="s">
        <v>466</v>
      </c>
      <c r="D62" s="374">
        <f>'Haver Pivoted'!GO31</f>
        <v>2223</v>
      </c>
      <c r="E62" s="375">
        <f>'Haver Pivoted'!GP31</f>
        <v>2303.8000000000002</v>
      </c>
      <c r="F62" s="375">
        <f>'Haver Pivoted'!GQ31</f>
        <v>2321.6999999999998</v>
      </c>
      <c r="G62" s="375">
        <f>'Haver Pivoted'!GR31</f>
        <v>2337.1</v>
      </c>
      <c r="H62" s="375">
        <f>'Haver Pivoted'!GS31</f>
        <v>2349.5</v>
      </c>
      <c r="I62" s="375">
        <f>'Haver Pivoted'!GT31</f>
        <v>2414.4</v>
      </c>
      <c r="J62" s="375">
        <f>'Haver Pivoted'!GU31</f>
        <v>4654.1000000000004</v>
      </c>
      <c r="K62" s="375">
        <f>'Haver Pivoted'!GV31</f>
        <v>3504.7</v>
      </c>
      <c r="L62" s="375">
        <f>'Haver Pivoted'!GW31</f>
        <v>2888.4</v>
      </c>
      <c r="M62" s="375">
        <f>'Haver Pivoted'!GX31</f>
        <v>5138.1000000000004</v>
      </c>
      <c r="N62" s="375">
        <f>'Haver Pivoted'!GY31</f>
        <v>3397.8</v>
      </c>
      <c r="O62" s="375">
        <f>'Haver Pivoted'!GZ31</f>
        <v>3124.9</v>
      </c>
      <c r="P62" s="375">
        <f>'Haver Pivoted'!HA31</f>
        <v>2952.6</v>
      </c>
      <c r="Q62" s="375">
        <f>'Haver Pivoted'!HB31</f>
        <v>2970.9</v>
      </c>
      <c r="R62" s="375">
        <f>'Haver Pivoted'!HC31</f>
        <v>2976.2</v>
      </c>
      <c r="S62" s="376">
        <f>'Haver Pivoted'!HD31</f>
        <v>2970.4</v>
      </c>
      <c r="T62" s="677">
        <f>'Haver Pivoted'!HE31</f>
        <v>3024.4</v>
      </c>
      <c r="U62" s="376">
        <f>'Haver Pivoted'!HF31</f>
        <v>3038.4</v>
      </c>
      <c r="V62" s="376">
        <f>'Haver Pivoted'!HG31</f>
        <v>3049.1</v>
      </c>
      <c r="W62" s="376">
        <f>'Haver Pivoted'!HH31</f>
        <v>3078</v>
      </c>
      <c r="X62" s="376">
        <f>'Haver Pivoted'!HI31</f>
        <v>3095.6</v>
      </c>
      <c r="Y62" s="376">
        <f>'Haver Pivoted'!HJ31</f>
        <v>3201.1</v>
      </c>
      <c r="Z62" s="376">
        <f>'Haver Pivoted'!HK31</f>
        <v>3243.1</v>
      </c>
      <c r="AA62" s="376">
        <f>'Haver Pivoted'!HL31</f>
        <v>3283.8</v>
      </c>
      <c r="AB62" s="376">
        <f>'Haver Pivoted'!HM31</f>
        <v>3328.6</v>
      </c>
      <c r="AC62" s="376">
        <f>'Haver Pivoted'!HN31</f>
        <v>3452.4</v>
      </c>
      <c r="AD62" s="707"/>
      <c r="AE62" s="707"/>
      <c r="AF62" s="707"/>
      <c r="AG62" s="225"/>
      <c r="AH62" s="225"/>
      <c r="AI62" s="225"/>
      <c r="AJ62" s="225"/>
      <c r="AK62" s="225"/>
      <c r="AL62" s="225"/>
      <c r="AM62" s="225"/>
      <c r="AN62" s="225"/>
    </row>
    <row r="63" spans="2:40" ht="37" customHeight="1" x14ac:dyDescent="0.35">
      <c r="B63" s="488" t="s">
        <v>1841</v>
      </c>
      <c r="C63" s="245"/>
      <c r="D63" s="700">
        <f>D64+D65</f>
        <v>812.1</v>
      </c>
      <c r="E63" s="456">
        <f>E64+E65</f>
        <v>833.1</v>
      </c>
      <c r="F63" s="456">
        <f>F64+F65</f>
        <v>845.8</v>
      </c>
      <c r="G63" s="456">
        <f t="shared" ref="G63:N63" si="42">G64+G65</f>
        <v>854.4</v>
      </c>
      <c r="H63" s="456">
        <f t="shared" si="42"/>
        <v>858.7</v>
      </c>
      <c r="I63" s="456">
        <f t="shared" si="42"/>
        <v>878.91200000000003</v>
      </c>
      <c r="J63" s="456">
        <f t="shared" si="42"/>
        <v>3142.9549999999999</v>
      </c>
      <c r="K63" s="456">
        <f t="shared" si="42"/>
        <v>1863.174</v>
      </c>
      <c r="L63" s="456">
        <f t="shared" si="42"/>
        <v>1307.4940000000001</v>
      </c>
      <c r="M63" s="456">
        <f t="shared" si="42"/>
        <v>3530.9749999999999</v>
      </c>
      <c r="N63" s="456">
        <f t="shared" si="42"/>
        <v>1812.8558400000002</v>
      </c>
      <c r="O63" s="456">
        <f>O64+O65</f>
        <v>1537.1944933333332</v>
      </c>
      <c r="P63" s="456">
        <f t="shared" ref="P63" si="43">P64+P65</f>
        <v>1378.037333333333</v>
      </c>
      <c r="Q63" s="456">
        <f t="shared" ref="Q63" si="44">Q64+Q65</f>
        <v>1212.615</v>
      </c>
      <c r="R63" s="456">
        <f t="shared" ref="R63" si="45">R64+R65</f>
        <v>1208.7130000000002</v>
      </c>
      <c r="S63" s="673">
        <f>S64+S65</f>
        <v>1205.403</v>
      </c>
      <c r="T63" s="673">
        <f t="shared" ref="T63" si="46">T64+T65</f>
        <v>1228.624</v>
      </c>
      <c r="U63" s="673">
        <f t="shared" ref="U63" si="47">U64+U65</f>
        <v>1164.202</v>
      </c>
      <c r="V63" s="673">
        <f t="shared" ref="V63:AA63" si="48">V64+V65</f>
        <v>1154.0450000000001</v>
      </c>
      <c r="W63" s="673">
        <f t="shared" si="48"/>
        <v>1171.75</v>
      </c>
      <c r="X63" s="673">
        <f t="shared" si="48"/>
        <v>1164.5179999999998</v>
      </c>
      <c r="Y63" s="673">
        <f t="shared" si="48"/>
        <v>1176.5360000000001</v>
      </c>
      <c r="Z63" s="673">
        <f t="shared" si="48"/>
        <v>1198.548</v>
      </c>
      <c r="AA63" s="673">
        <f t="shared" si="48"/>
        <v>1229.1180000000002</v>
      </c>
      <c r="AB63" s="673">
        <f t="shared" ref="AB63:AC63" si="49">AB64+AB65</f>
        <v>1253.3729999999998</v>
      </c>
      <c r="AC63" s="673">
        <f t="shared" si="49"/>
        <v>1281.6229999999998</v>
      </c>
      <c r="AD63" s="657"/>
      <c r="AE63" s="657"/>
      <c r="AF63" s="657"/>
      <c r="AG63" s="225"/>
      <c r="AH63" s="225"/>
      <c r="AI63" s="225"/>
      <c r="AJ63" s="225"/>
      <c r="AK63" s="225"/>
      <c r="AL63" s="225"/>
      <c r="AM63" s="225"/>
      <c r="AN63" s="225"/>
    </row>
    <row r="64" spans="2:40" ht="25.75" customHeight="1" x14ac:dyDescent="0.35">
      <c r="B64" s="429" t="s">
        <v>1839</v>
      </c>
      <c r="C64" s="245"/>
      <c r="D64" s="700">
        <f t="shared" ref="D64:AC64" si="50">D14+D17+D27</f>
        <v>812.1</v>
      </c>
      <c r="E64" s="700">
        <f t="shared" si="50"/>
        <v>833.1</v>
      </c>
      <c r="F64" s="456">
        <f t="shared" si="50"/>
        <v>845.8</v>
      </c>
      <c r="G64" s="456">
        <f t="shared" si="50"/>
        <v>854.4</v>
      </c>
      <c r="H64" s="456">
        <f t="shared" si="50"/>
        <v>858.7</v>
      </c>
      <c r="I64" s="456">
        <f t="shared" si="50"/>
        <v>872</v>
      </c>
      <c r="J64" s="456">
        <f t="shared" si="50"/>
        <v>1795.8</v>
      </c>
      <c r="K64" s="456">
        <f t="shared" si="50"/>
        <v>1656.8</v>
      </c>
      <c r="L64" s="456">
        <f t="shared" si="50"/>
        <v>1191.7</v>
      </c>
      <c r="M64" s="456">
        <f t="shared" si="50"/>
        <v>1473.1</v>
      </c>
      <c r="N64" s="456">
        <f t="shared" si="50"/>
        <v>1346.4</v>
      </c>
      <c r="O64" s="456">
        <f t="shared" si="50"/>
        <v>1318.833333333333</v>
      </c>
      <c r="P64" s="456">
        <f t="shared" si="50"/>
        <v>1157.333333333333</v>
      </c>
      <c r="Q64" s="456">
        <f t="shared" si="50"/>
        <v>1036.4000000000001</v>
      </c>
      <c r="R64" s="456">
        <f t="shared" si="50"/>
        <v>1042.6000000000001</v>
      </c>
      <c r="S64" s="673">
        <f t="shared" si="50"/>
        <v>1054.8</v>
      </c>
      <c r="T64" s="673">
        <f t="shared" si="50"/>
        <v>1078.7</v>
      </c>
      <c r="U64" s="673">
        <f t="shared" si="50"/>
        <v>1045.2</v>
      </c>
      <c r="V64" s="673">
        <f t="shared" si="50"/>
        <v>1066.76</v>
      </c>
      <c r="W64" s="673">
        <f t="shared" si="50"/>
        <v>1084.8599999999999</v>
      </c>
      <c r="X64" s="673">
        <f t="shared" si="50"/>
        <v>1104.5999999999999</v>
      </c>
      <c r="Y64" s="673">
        <f t="shared" si="50"/>
        <v>1118.1000000000001</v>
      </c>
      <c r="Z64" s="673">
        <f t="shared" si="50"/>
        <v>1136</v>
      </c>
      <c r="AA64" s="673">
        <f t="shared" si="50"/>
        <v>1159.9000000000001</v>
      </c>
      <c r="AB64" s="673">
        <f t="shared" si="50"/>
        <v>1188.5999999999999</v>
      </c>
      <c r="AC64" s="673">
        <f t="shared" si="50"/>
        <v>1220.0999999999999</v>
      </c>
      <c r="AD64" s="657"/>
      <c r="AE64" s="657"/>
      <c r="AF64" s="657"/>
      <c r="AG64" s="657"/>
      <c r="AH64" s="657"/>
      <c r="AI64" s="657"/>
      <c r="AJ64" s="657"/>
      <c r="AK64" s="657"/>
      <c r="AL64" s="657"/>
      <c r="AM64" s="657"/>
      <c r="AN64" s="657"/>
    </row>
    <row r="65" spans="2:40" ht="36" customHeight="1" x14ac:dyDescent="0.35">
      <c r="B65" s="429" t="s">
        <v>1840</v>
      </c>
      <c r="C65" s="245"/>
      <c r="D65" s="456">
        <f t="shared" ref="D65:AN65" si="51">D18+D21+D24+D25+D26+D28+D32</f>
        <v>0</v>
      </c>
      <c r="E65" s="456">
        <f t="shared" si="51"/>
        <v>0</v>
      </c>
      <c r="F65" s="456">
        <f t="shared" si="51"/>
        <v>0</v>
      </c>
      <c r="G65" s="456">
        <f t="shared" si="51"/>
        <v>0</v>
      </c>
      <c r="H65" s="456">
        <f t="shared" si="51"/>
        <v>0</v>
      </c>
      <c r="I65" s="456">
        <f t="shared" si="51"/>
        <v>6.9120000000000061</v>
      </c>
      <c r="J65" s="456">
        <f t="shared" si="51"/>
        <v>1347.155</v>
      </c>
      <c r="K65" s="456">
        <f t="shared" si="51"/>
        <v>206.37400000000002</v>
      </c>
      <c r="L65" s="456">
        <f t="shared" si="51"/>
        <v>115.79400000000001</v>
      </c>
      <c r="M65" s="456">
        <f t="shared" si="51"/>
        <v>2057.875</v>
      </c>
      <c r="N65" s="456">
        <f t="shared" si="51"/>
        <v>466.45584000000008</v>
      </c>
      <c r="O65" s="456">
        <f t="shared" si="51"/>
        <v>218.3611600000001</v>
      </c>
      <c r="P65" s="456">
        <f t="shared" si="51"/>
        <v>220.70400000000004</v>
      </c>
      <c r="Q65" s="456">
        <f t="shared" si="51"/>
        <v>176.215</v>
      </c>
      <c r="R65" s="456">
        <f t="shared" si="51"/>
        <v>166.113</v>
      </c>
      <c r="S65" s="456">
        <f t="shared" si="51"/>
        <v>150.60300000000001</v>
      </c>
      <c r="T65" s="456">
        <f t="shared" si="51"/>
        <v>149.92400000000004</v>
      </c>
      <c r="U65" s="456">
        <f t="shared" si="51"/>
        <v>119.002</v>
      </c>
      <c r="V65" s="456">
        <f t="shared" si="51"/>
        <v>87.285000000000011</v>
      </c>
      <c r="W65" s="456">
        <f t="shared" si="51"/>
        <v>86.890000000000015</v>
      </c>
      <c r="X65" s="657">
        <f t="shared" si="51"/>
        <v>59.917999999999999</v>
      </c>
      <c r="Y65" s="657">
        <f t="shared" si="51"/>
        <v>58.436</v>
      </c>
      <c r="Z65" s="657">
        <f t="shared" si="51"/>
        <v>62.548000000000009</v>
      </c>
      <c r="AA65" s="657">
        <f t="shared" si="51"/>
        <v>69.218000000000018</v>
      </c>
      <c r="AB65" s="657">
        <f t="shared" si="51"/>
        <v>64.77300000000001</v>
      </c>
      <c r="AC65" s="657">
        <f t="shared" si="51"/>
        <v>61.52300000000001</v>
      </c>
      <c r="AD65" s="657">
        <f>AD18+AD21+AD24+AD25+AD26+AD28+AD32</f>
        <v>61.52300000000001</v>
      </c>
      <c r="AE65" s="657">
        <f t="shared" si="51"/>
        <v>61.52300000000001</v>
      </c>
      <c r="AF65" s="657">
        <f t="shared" si="51"/>
        <v>35.482000000000014</v>
      </c>
      <c r="AG65" s="657">
        <f t="shared" si="51"/>
        <v>33.321000000000012</v>
      </c>
      <c r="AH65" s="657">
        <f t="shared" si="51"/>
        <v>32.593000000000011</v>
      </c>
      <c r="AI65" s="657">
        <f t="shared" si="51"/>
        <v>32.593000000000011</v>
      </c>
      <c r="AJ65" s="657">
        <f t="shared" si="51"/>
        <v>24.438000000000009</v>
      </c>
      <c r="AK65" s="657">
        <f t="shared" si="51"/>
        <v>24.438000000000009</v>
      </c>
      <c r="AL65" s="657">
        <f t="shared" si="51"/>
        <v>24.438000000000009</v>
      </c>
      <c r="AM65" s="657">
        <f t="shared" si="51"/>
        <v>24.438000000000009</v>
      </c>
      <c r="AN65" s="657">
        <f t="shared" si="51"/>
        <v>2.7930000000000099</v>
      </c>
    </row>
    <row r="66" spans="2:40" ht="25.75" customHeight="1" x14ac:dyDescent="0.35">
      <c r="B66" s="488" t="s">
        <v>799</v>
      </c>
      <c r="C66" s="245"/>
      <c r="D66" s="673">
        <f t="shared" ref="D66:U66" si="52">D62-D63</f>
        <v>1410.9</v>
      </c>
      <c r="E66" s="673">
        <f t="shared" si="52"/>
        <v>1470.7000000000003</v>
      </c>
      <c r="F66" s="673">
        <f t="shared" si="52"/>
        <v>1475.8999999999999</v>
      </c>
      <c r="G66" s="673">
        <f t="shared" si="52"/>
        <v>1482.6999999999998</v>
      </c>
      <c r="H66" s="673">
        <f t="shared" si="52"/>
        <v>1490.8</v>
      </c>
      <c r="I66" s="673">
        <f t="shared" si="52"/>
        <v>1535.4880000000001</v>
      </c>
      <c r="J66" s="673">
        <f t="shared" si="52"/>
        <v>1511.1450000000004</v>
      </c>
      <c r="K66" s="673">
        <f t="shared" si="52"/>
        <v>1641.5259999999998</v>
      </c>
      <c r="L66" s="673">
        <f t="shared" si="52"/>
        <v>1580.9059999999999</v>
      </c>
      <c r="M66" s="673">
        <f t="shared" si="52"/>
        <v>1607.1250000000005</v>
      </c>
      <c r="N66" s="673">
        <f t="shared" si="52"/>
        <v>1584.94416</v>
      </c>
      <c r="O66" s="673">
        <f t="shared" si="52"/>
        <v>1587.7055066666669</v>
      </c>
      <c r="P66" s="673">
        <f t="shared" si="52"/>
        <v>1574.5626666666669</v>
      </c>
      <c r="Q66" s="673">
        <f t="shared" si="52"/>
        <v>1758.2850000000001</v>
      </c>
      <c r="R66" s="673">
        <f t="shared" si="52"/>
        <v>1767.4869999999996</v>
      </c>
      <c r="S66" s="673">
        <f t="shared" si="52"/>
        <v>1764.9970000000001</v>
      </c>
      <c r="T66" s="673">
        <f t="shared" si="52"/>
        <v>1795.7760000000001</v>
      </c>
      <c r="U66" s="673">
        <f t="shared" si="52"/>
        <v>1874.1980000000001</v>
      </c>
      <c r="V66" s="673">
        <f t="shared" ref="V66:AB66" si="53">V62-V63</f>
        <v>1895.0549999999998</v>
      </c>
      <c r="W66" s="673">
        <f t="shared" si="53"/>
        <v>1906.25</v>
      </c>
      <c r="X66" s="673">
        <f t="shared" si="53"/>
        <v>1931.0820000000001</v>
      </c>
      <c r="Y66" s="673">
        <f t="shared" si="53"/>
        <v>2024.5639999999999</v>
      </c>
      <c r="Z66" s="673">
        <f t="shared" si="53"/>
        <v>2044.5519999999999</v>
      </c>
      <c r="AA66" s="673">
        <f t="shared" si="53"/>
        <v>2054.6819999999998</v>
      </c>
      <c r="AB66" s="673">
        <f t="shared" si="53"/>
        <v>2075.2269999999999</v>
      </c>
      <c r="AC66" s="673">
        <f>AC62-AC63</f>
        <v>2170.777</v>
      </c>
      <c r="AD66" s="657"/>
      <c r="AE66" s="657"/>
      <c r="AF66" s="657"/>
      <c r="AG66" s="225"/>
      <c r="AH66" s="225"/>
      <c r="AI66" s="225"/>
      <c r="AJ66" s="225"/>
      <c r="AK66" s="225"/>
      <c r="AL66" s="225"/>
      <c r="AM66" s="225"/>
      <c r="AN66" s="225"/>
    </row>
    <row r="67" spans="2:40" ht="20.5" customHeight="1" x14ac:dyDescent="0.35">
      <c r="B67" s="683" t="s">
        <v>800</v>
      </c>
      <c r="C67" s="684"/>
      <c r="D67" s="690">
        <f t="shared" ref="D67:I67" si="54">D12-D14-D17-D27</f>
        <v>1410.9</v>
      </c>
      <c r="E67" s="661">
        <f t="shared" si="54"/>
        <v>1470.7000000000003</v>
      </c>
      <c r="F67" s="661">
        <f t="shared" si="54"/>
        <v>1475.8999999999996</v>
      </c>
      <c r="G67" s="661">
        <f t="shared" si="54"/>
        <v>1482.6999999999998</v>
      </c>
      <c r="H67" s="661">
        <f t="shared" si="54"/>
        <v>1490.8000000000002</v>
      </c>
      <c r="I67" s="661">
        <f t="shared" si="54"/>
        <v>1542.4</v>
      </c>
      <c r="J67" s="691">
        <f>I67+($H$67-$E$67)/3</f>
        <v>1549.1000000000001</v>
      </c>
      <c r="K67" s="691">
        <f>J67+($H$67-$E$67)/3</f>
        <v>1555.8000000000002</v>
      </c>
      <c r="L67" s="691">
        <f>K67+($H$67-$E$67)/3</f>
        <v>1562.5000000000002</v>
      </c>
      <c r="M67" s="692">
        <f>L67+($H$67-$E$67)/3 +(M71-L71)</f>
        <v>1586.8430000000003</v>
      </c>
      <c r="N67" s="691">
        <f>M67+($H$67-$E$67)/3</f>
        <v>1593.5430000000003</v>
      </c>
      <c r="O67" s="691">
        <f>N67+($H$67-$E$67)/3</f>
        <v>1600.2430000000004</v>
      </c>
      <c r="P67" s="691">
        <f>O67+($H$67-$E$67)/3</f>
        <v>1606.9430000000004</v>
      </c>
      <c r="Q67" s="692">
        <f>P67+($H$67-$E$67)/3 + 0.06*Q71</f>
        <v>1685.5501200000006</v>
      </c>
      <c r="R67" s="691">
        <f>Q67+($H$67-$E$67)/3</f>
        <v>1692.2501200000006</v>
      </c>
      <c r="S67" s="691">
        <f>R67+($H$67-$E$67)/3</f>
        <v>1698.9501200000007</v>
      </c>
      <c r="T67" s="691">
        <f>S67+($H$67-$E$67)/3</f>
        <v>1705.6501200000007</v>
      </c>
      <c r="U67" s="691">
        <f t="shared" ref="U67:AN67" si="55">T67+U68</f>
        <v>1818.9789730000007</v>
      </c>
      <c r="V67" s="691">
        <f t="shared" si="55"/>
        <v>1825.6789730000007</v>
      </c>
      <c r="W67" s="661">
        <f t="shared" si="55"/>
        <v>1832.3789730000008</v>
      </c>
      <c r="X67" s="685">
        <f t="shared" si="55"/>
        <v>1839.0789730000008</v>
      </c>
      <c r="Y67" s="685">
        <f t="shared" si="55"/>
        <v>1891.4284770000008</v>
      </c>
      <c r="Z67" s="685">
        <f t="shared" si="55"/>
        <v>1898.1284770000009</v>
      </c>
      <c r="AA67" s="685">
        <f t="shared" si="55"/>
        <v>1904.8284770000009</v>
      </c>
      <c r="AB67" s="685">
        <f t="shared" si="55"/>
        <v>1911.528477000001</v>
      </c>
      <c r="AC67" s="685">
        <f>AB67+AC68</f>
        <v>1956.4482020000009</v>
      </c>
      <c r="AD67" s="685">
        <f>AC67+AD68</f>
        <v>1963.148202000001</v>
      </c>
      <c r="AE67" s="685">
        <f t="shared" si="55"/>
        <v>1969.848202000001</v>
      </c>
      <c r="AF67" s="685">
        <f t="shared" si="55"/>
        <v>1976.5482020000011</v>
      </c>
      <c r="AG67" s="685">
        <f t="shared" si="55"/>
        <v>2021.8053925010011</v>
      </c>
      <c r="AH67" s="685">
        <f t="shared" si="55"/>
        <v>2028.5053925010011</v>
      </c>
      <c r="AI67" s="685">
        <f t="shared" si="55"/>
        <v>2035.2053925010011</v>
      </c>
      <c r="AJ67" s="685">
        <f t="shared" si="55"/>
        <v>2041.9053925010012</v>
      </c>
      <c r="AK67" s="685">
        <f t="shared" si="55"/>
        <v>2089.4772613835244</v>
      </c>
      <c r="AL67" s="685">
        <f t="shared" si="55"/>
        <v>2096.1772613835242</v>
      </c>
      <c r="AM67" s="685">
        <f t="shared" si="55"/>
        <v>2102.877261383524</v>
      </c>
      <c r="AN67" s="685">
        <f t="shared" si="55"/>
        <v>2109.5772613835238</v>
      </c>
    </row>
    <row r="68" spans="2:40" ht="20.5" customHeight="1" x14ac:dyDescent="0.35">
      <c r="B68" s="686" t="s">
        <v>1800</v>
      </c>
      <c r="C68" s="245"/>
      <c r="D68" s="700"/>
      <c r="E68" s="456"/>
      <c r="F68" s="456"/>
      <c r="G68" s="456"/>
      <c r="H68" s="456"/>
      <c r="I68" s="456"/>
      <c r="J68" s="674"/>
      <c r="K68" s="674"/>
      <c r="L68" s="674"/>
      <c r="M68" s="693"/>
      <c r="N68" s="674"/>
      <c r="O68" s="674"/>
      <c r="P68" s="674"/>
      <c r="Q68" s="693"/>
      <c r="R68" s="674"/>
      <c r="S68" s="674"/>
      <c r="T68" s="674"/>
      <c r="U68" s="674">
        <f>U69+U70</f>
        <v>113.32885299999995</v>
      </c>
      <c r="V68" s="674">
        <f>V69+V70</f>
        <v>6.69999999999997</v>
      </c>
      <c r="W68" s="674">
        <f>W69+W70</f>
        <v>6.69999999999997</v>
      </c>
      <c r="X68" s="657">
        <f t="shared" ref="X68:AN68" si="56">X69+X74*X71</f>
        <v>6.69999999999997</v>
      </c>
      <c r="Y68" s="657">
        <f t="shared" si="56"/>
        <v>52.349503999999968</v>
      </c>
      <c r="Z68" s="657">
        <f t="shared" si="56"/>
        <v>6.69999999999997</v>
      </c>
      <c r="AA68" s="657">
        <f t="shared" si="56"/>
        <v>6.69999999999997</v>
      </c>
      <c r="AB68" s="657">
        <f t="shared" si="56"/>
        <v>6.69999999999997</v>
      </c>
      <c r="AC68" s="657">
        <f t="shared" si="56"/>
        <v>44.919724999999971</v>
      </c>
      <c r="AD68" s="657">
        <f>AD69+AD74*AD71</f>
        <v>6.69999999999997</v>
      </c>
      <c r="AE68" s="657">
        <f t="shared" si="56"/>
        <v>6.69999999999997</v>
      </c>
      <c r="AF68" s="657">
        <f t="shared" si="56"/>
        <v>6.69999999999997</v>
      </c>
      <c r="AG68" s="657">
        <f t="shared" si="56"/>
        <v>45.257190500999961</v>
      </c>
      <c r="AH68" s="657">
        <f t="shared" si="56"/>
        <v>6.69999999999997</v>
      </c>
      <c r="AI68" s="657">
        <f t="shared" si="56"/>
        <v>6.69999999999997</v>
      </c>
      <c r="AJ68" s="657">
        <f t="shared" si="56"/>
        <v>6.69999999999997</v>
      </c>
      <c r="AK68" s="657">
        <f t="shared" si="56"/>
        <v>47.571868882522963</v>
      </c>
      <c r="AL68" s="657">
        <f t="shared" si="56"/>
        <v>6.69999999999997</v>
      </c>
      <c r="AM68" s="657">
        <f t="shared" si="56"/>
        <v>6.69999999999997</v>
      </c>
      <c r="AN68" s="657">
        <f t="shared" si="56"/>
        <v>6.69999999999997</v>
      </c>
    </row>
    <row r="69" spans="2:40" ht="28.4" customHeight="1" x14ac:dyDescent="0.35">
      <c r="B69" s="687" t="s">
        <v>1797</v>
      </c>
      <c r="C69" s="245"/>
      <c r="D69" s="700"/>
      <c r="E69" s="456"/>
      <c r="F69" s="456"/>
      <c r="G69" s="456"/>
      <c r="H69" s="456"/>
      <c r="I69" s="456"/>
      <c r="J69" s="674"/>
      <c r="K69" s="674"/>
      <c r="L69" s="674"/>
      <c r="M69" s="693"/>
      <c r="N69" s="674"/>
      <c r="O69" s="674"/>
      <c r="P69" s="674"/>
      <c r="Q69" s="693"/>
      <c r="R69" s="674"/>
      <c r="S69" s="674"/>
      <c r="T69" s="674"/>
      <c r="U69" s="674">
        <f>($H$67-$E$67)/3</f>
        <v>6.69999999999997</v>
      </c>
      <c r="V69" s="674">
        <f>($H$67-$E$67)/3</f>
        <v>6.69999999999997</v>
      </c>
      <c r="W69" s="674">
        <f>($H$67-$E$67)/3</f>
        <v>6.69999999999997</v>
      </c>
      <c r="X69" s="657">
        <f t="shared" ref="X69:AC69" si="57">W69</f>
        <v>6.69999999999997</v>
      </c>
      <c r="Y69" s="657">
        <f t="shared" si="57"/>
        <v>6.69999999999997</v>
      </c>
      <c r="Z69" s="657">
        <f t="shared" si="57"/>
        <v>6.69999999999997</v>
      </c>
      <c r="AA69" s="657">
        <f t="shared" si="57"/>
        <v>6.69999999999997</v>
      </c>
      <c r="AB69" s="657">
        <f t="shared" si="57"/>
        <v>6.69999999999997</v>
      </c>
      <c r="AC69" s="657">
        <f t="shared" si="57"/>
        <v>6.69999999999997</v>
      </c>
      <c r="AD69" s="657">
        <f t="shared" ref="AD69" si="58">AC69</f>
        <v>6.69999999999997</v>
      </c>
      <c r="AE69" s="657">
        <f t="shared" ref="AE69" si="59">AD69</f>
        <v>6.69999999999997</v>
      </c>
      <c r="AF69" s="657">
        <f>AE69</f>
        <v>6.69999999999997</v>
      </c>
      <c r="AG69" s="657">
        <f>AF69</f>
        <v>6.69999999999997</v>
      </c>
      <c r="AH69" s="657">
        <f>AG69</f>
        <v>6.69999999999997</v>
      </c>
      <c r="AI69" s="657">
        <f t="shared" ref="AI69:AJ69" si="60">AH69</f>
        <v>6.69999999999997</v>
      </c>
      <c r="AJ69" s="657">
        <f t="shared" si="60"/>
        <v>6.69999999999997</v>
      </c>
      <c r="AK69" s="657">
        <f t="shared" ref="AK69" si="61">AJ69</f>
        <v>6.69999999999997</v>
      </c>
      <c r="AL69" s="657">
        <f t="shared" ref="AL69" si="62">AK69</f>
        <v>6.69999999999997</v>
      </c>
      <c r="AM69" s="657">
        <f t="shared" ref="AM69" si="63">AL69</f>
        <v>6.69999999999997</v>
      </c>
      <c r="AN69" s="657">
        <f t="shared" ref="AN69" si="64">AM69</f>
        <v>6.69999999999997</v>
      </c>
    </row>
    <row r="70" spans="2:40" ht="30.65" customHeight="1" x14ac:dyDescent="0.35">
      <c r="B70" s="688" t="s">
        <v>1798</v>
      </c>
      <c r="C70" s="689"/>
      <c r="D70" s="694"/>
      <c r="E70" s="662"/>
      <c r="F70" s="662"/>
      <c r="G70" s="662"/>
      <c r="H70" s="662"/>
      <c r="I70" s="662"/>
      <c r="J70" s="695"/>
      <c r="K70" s="695"/>
      <c r="L70" s="695"/>
      <c r="M70" s="696"/>
      <c r="N70" s="695"/>
      <c r="O70" s="695"/>
      <c r="P70" s="695"/>
      <c r="Q70" s="696"/>
      <c r="R70" s="695"/>
      <c r="S70" s="695"/>
      <c r="T70" s="695"/>
      <c r="U70" s="695">
        <f t="shared" ref="U70:AN70" si="65">U74*T71</f>
        <v>106.62885299999998</v>
      </c>
      <c r="V70" s="695">
        <f t="shared" si="65"/>
        <v>0</v>
      </c>
      <c r="W70" s="662">
        <f t="shared" si="65"/>
        <v>0</v>
      </c>
      <c r="X70" s="697">
        <f t="shared" si="65"/>
        <v>0</v>
      </c>
      <c r="Y70" s="697">
        <f t="shared" si="65"/>
        <v>43.967424000000001</v>
      </c>
      <c r="Z70" s="697">
        <f t="shared" si="65"/>
        <v>0</v>
      </c>
      <c r="AA70" s="697">
        <f t="shared" si="65"/>
        <v>0</v>
      </c>
      <c r="AB70" s="697">
        <f t="shared" si="65"/>
        <v>0</v>
      </c>
      <c r="AC70" s="697">
        <f t="shared" si="65"/>
        <v>36.697899999999997</v>
      </c>
      <c r="AD70" s="697">
        <f t="shared" si="65"/>
        <v>0</v>
      </c>
      <c r="AE70" s="697">
        <f t="shared" si="65"/>
        <v>0</v>
      </c>
      <c r="AF70" s="697">
        <f t="shared" si="65"/>
        <v>0</v>
      </c>
      <c r="AG70" s="697">
        <f t="shared" si="65"/>
        <v>37.330587000000001</v>
      </c>
      <c r="AH70" s="697">
        <f t="shared" si="65"/>
        <v>0</v>
      </c>
      <c r="AI70" s="697">
        <f t="shared" si="65"/>
        <v>0</v>
      </c>
      <c r="AJ70" s="697">
        <f t="shared" si="65"/>
        <v>0</v>
      </c>
      <c r="AK70" s="697">
        <f t="shared" si="65"/>
        <v>39.638190500999997</v>
      </c>
      <c r="AL70" s="697">
        <f t="shared" si="65"/>
        <v>0</v>
      </c>
      <c r="AM70" s="697">
        <f t="shared" si="65"/>
        <v>0</v>
      </c>
      <c r="AN70" s="697">
        <f t="shared" si="65"/>
        <v>0</v>
      </c>
    </row>
    <row r="71" spans="2:40" ht="17.5" customHeight="1" x14ac:dyDescent="0.35">
      <c r="B71" s="559" t="s">
        <v>473</v>
      </c>
      <c r="C71" s="245" t="s">
        <v>474</v>
      </c>
      <c r="D71" s="700">
        <f>'Haver Pivoted'!GO88/1000</f>
        <v>983.86099999999999</v>
      </c>
      <c r="E71" s="456">
        <f>'Haver Pivoted'!GP88/1000</f>
        <v>1019.19</v>
      </c>
      <c r="F71" s="456">
        <f>'Haver Pivoted'!GQ88/1000</f>
        <v>1026.704</v>
      </c>
      <c r="G71" s="456">
        <f>'Haver Pivoted'!GR88/1000</f>
        <v>1034.4169999999999</v>
      </c>
      <c r="H71" s="456">
        <f>'Haver Pivoted'!GS88/1000</f>
        <v>1042.6610000000001</v>
      </c>
      <c r="I71" s="456">
        <f>'Haver Pivoted'!GT88/1000</f>
        <v>1068.201</v>
      </c>
      <c r="J71" s="456">
        <f>'Haver Pivoted'!GU88/1000</f>
        <v>1075.075</v>
      </c>
      <c r="K71" s="456">
        <f>'Haver Pivoted'!GV88/1000</f>
        <v>1080.441</v>
      </c>
      <c r="L71" s="456">
        <f>'Haver Pivoted'!GW88/1000</f>
        <v>1087.9949999999999</v>
      </c>
      <c r="M71" s="456">
        <f>'Haver Pivoted'!GX88/1000</f>
        <v>1105.6379999999999</v>
      </c>
      <c r="N71" s="456">
        <f>'Haver Pivoted'!GY88/1000</f>
        <v>1109.6400000000001</v>
      </c>
      <c r="O71" s="456">
        <f>'Haver Pivoted'!GZ88/1000</f>
        <v>1116.9480000000001</v>
      </c>
      <c r="P71" s="456">
        <f>'Haver Pivoted'!HA88/1000</f>
        <v>1126.174</v>
      </c>
      <c r="Q71" s="456">
        <f>'Haver Pivoted'!HB88/1000</f>
        <v>1198.452</v>
      </c>
      <c r="R71" s="456">
        <f>'Haver Pivoted'!HC88/1000</f>
        <v>1207.163</v>
      </c>
      <c r="S71" s="673">
        <f>'Haver Pivoted'!HD88/1000</f>
        <v>1214.7809999999999</v>
      </c>
      <c r="T71" s="673">
        <f>'Haver Pivoted'!HE88/1000</f>
        <v>1225.6189999999999</v>
      </c>
      <c r="U71" s="673">
        <f>'Haver Pivoted'!HF88/1000</f>
        <v>1339.904</v>
      </c>
      <c r="V71" s="673">
        <f>'Haver Pivoted'!HG88/1000</f>
        <v>1353.2829999999999</v>
      </c>
      <c r="W71" s="673">
        <f>'Haver Pivoted'!HH88/1000</f>
        <v>1360.723</v>
      </c>
      <c r="X71" s="673">
        <f>'Haver Pivoted'!HI88/1000</f>
        <v>1373.982</v>
      </c>
      <c r="Y71" s="673">
        <f>'Haver Pivoted'!HJ88/1000</f>
        <v>1426.547</v>
      </c>
      <c r="Z71" s="673">
        <f>'Haver Pivoted'!HK88/1000</f>
        <v>1439.73</v>
      </c>
      <c r="AA71" s="673">
        <f>'Haver Pivoted'!HL88/1000</f>
        <v>1453.1369999999999</v>
      </c>
      <c r="AB71" s="673">
        <f>'Haver Pivoted'!HM88/1000</f>
        <v>1467.9159999999999</v>
      </c>
      <c r="AC71" s="673">
        <f>'Haver Pivoted'!HN88/1000</f>
        <v>1528.789</v>
      </c>
      <c r="AD71" s="657">
        <f t="shared" ref="AD71:AN71" si="66">AC71+AD72</f>
        <v>1597.069</v>
      </c>
      <c r="AE71" s="657">
        <f t="shared" si="66"/>
        <v>1607.069</v>
      </c>
      <c r="AF71" s="657">
        <f t="shared" si="66"/>
        <v>1623.069</v>
      </c>
      <c r="AG71" s="657">
        <f t="shared" si="66"/>
        <v>1676.3995869999999</v>
      </c>
      <c r="AH71" s="657">
        <f t="shared" si="66"/>
        <v>1692.3995869999999</v>
      </c>
      <c r="AI71" s="657">
        <f t="shared" si="66"/>
        <v>1708.3995869999999</v>
      </c>
      <c r="AJ71" s="657">
        <f t="shared" si="66"/>
        <v>1723.3995869999999</v>
      </c>
      <c r="AK71" s="657">
        <f t="shared" si="66"/>
        <v>1777.0377775009999</v>
      </c>
      <c r="AL71" s="657">
        <f t="shared" si="66"/>
        <v>1790.0377775009999</v>
      </c>
      <c r="AM71" s="657">
        <f t="shared" si="66"/>
        <v>1802.0377775009999</v>
      </c>
      <c r="AN71" s="657">
        <f t="shared" si="66"/>
        <v>1813.0377775009999</v>
      </c>
    </row>
    <row r="72" spans="2:40" ht="17.5" customHeight="1" x14ac:dyDescent="0.35">
      <c r="B72" s="429" t="s">
        <v>1799</v>
      </c>
      <c r="C72" s="245"/>
      <c r="D72" s="700"/>
      <c r="E72" s="456"/>
      <c r="F72" s="456"/>
      <c r="G72" s="456"/>
      <c r="H72" s="456"/>
      <c r="I72" s="456"/>
      <c r="J72" s="456"/>
      <c r="K72" s="456"/>
      <c r="L72" s="456"/>
      <c r="M72" s="456"/>
      <c r="N72" s="456"/>
      <c r="O72" s="456"/>
      <c r="P72" s="456"/>
      <c r="Q72" s="456"/>
      <c r="R72" s="456"/>
      <c r="S72" s="673"/>
      <c r="T72" s="673"/>
      <c r="U72" s="673">
        <f t="shared" ref="U72:AN72" si="67">U70+U73</f>
        <v>114.62885299999998</v>
      </c>
      <c r="V72" s="456">
        <f t="shared" si="67"/>
        <v>8</v>
      </c>
      <c r="W72" s="456">
        <f t="shared" si="67"/>
        <v>11</v>
      </c>
      <c r="X72" s="657">
        <f t="shared" si="67"/>
        <v>14</v>
      </c>
      <c r="Y72" s="657">
        <f t="shared" si="67"/>
        <v>52.967424000000001</v>
      </c>
      <c r="Z72" s="657">
        <f t="shared" si="67"/>
        <v>13</v>
      </c>
      <c r="AA72" s="657">
        <f t="shared" si="67"/>
        <v>11</v>
      </c>
      <c r="AB72" s="657">
        <f t="shared" si="67"/>
        <v>14</v>
      </c>
      <c r="AC72" s="657">
        <f>AC70+AC73</f>
        <v>43.697899999999997</v>
      </c>
      <c r="AD72" s="657">
        <f t="shared" si="67"/>
        <v>68.28</v>
      </c>
      <c r="AE72" s="657">
        <f t="shared" si="67"/>
        <v>10</v>
      </c>
      <c r="AF72" s="657">
        <f t="shared" si="67"/>
        <v>16</v>
      </c>
      <c r="AG72" s="657">
        <f t="shared" si="67"/>
        <v>53.330587000000001</v>
      </c>
      <c r="AH72" s="657">
        <f t="shared" si="67"/>
        <v>16</v>
      </c>
      <c r="AI72" s="657">
        <f t="shared" si="67"/>
        <v>16</v>
      </c>
      <c r="AJ72" s="657">
        <f t="shared" si="67"/>
        <v>15</v>
      </c>
      <c r="AK72" s="657">
        <f t="shared" si="67"/>
        <v>53.638190500999997</v>
      </c>
      <c r="AL72" s="657">
        <f t="shared" si="67"/>
        <v>13</v>
      </c>
      <c r="AM72" s="657">
        <f t="shared" si="67"/>
        <v>12</v>
      </c>
      <c r="AN72" s="657">
        <f t="shared" si="67"/>
        <v>11</v>
      </c>
    </row>
    <row r="73" spans="2:40" ht="17.5" customHeight="1" x14ac:dyDescent="0.35">
      <c r="B73" s="421" t="s">
        <v>1802</v>
      </c>
      <c r="C73" s="245"/>
      <c r="D73" s="700"/>
      <c r="E73" s="456"/>
      <c r="F73" s="673"/>
      <c r="G73" s="673"/>
      <c r="H73" s="673"/>
      <c r="I73" s="673"/>
      <c r="J73" s="673"/>
      <c r="K73" s="673"/>
      <c r="L73" s="673"/>
      <c r="M73" s="673"/>
      <c r="N73" s="673"/>
      <c r="O73" s="673"/>
      <c r="P73" s="673"/>
      <c r="Q73" s="673"/>
      <c r="R73" s="673"/>
      <c r="S73" s="673"/>
      <c r="T73" s="673"/>
      <c r="U73" s="673">
        <v>8</v>
      </c>
      <c r="V73" s="456">
        <v>8</v>
      </c>
      <c r="W73" s="456">
        <v>11</v>
      </c>
      <c r="X73" s="657">
        <v>14</v>
      </c>
      <c r="Y73" s="657">
        <v>9</v>
      </c>
      <c r="Z73" s="657">
        <v>13</v>
      </c>
      <c r="AA73" s="657">
        <v>11</v>
      </c>
      <c r="AB73" s="657">
        <v>14</v>
      </c>
      <c r="AC73" s="657">
        <v>7</v>
      </c>
      <c r="AD73" s="657">
        <f>158-89.72</f>
        <v>68.28</v>
      </c>
      <c r="AE73" s="657">
        <v>10</v>
      </c>
      <c r="AF73" s="657">
        <v>16</v>
      </c>
      <c r="AG73" s="657">
        <v>16</v>
      </c>
      <c r="AH73" s="657">
        <v>16</v>
      </c>
      <c r="AI73" s="657">
        <v>16</v>
      </c>
      <c r="AJ73" s="657">
        <v>15</v>
      </c>
      <c r="AK73" s="657">
        <v>14</v>
      </c>
      <c r="AL73" s="657">
        <v>13</v>
      </c>
      <c r="AM73" s="657">
        <v>12</v>
      </c>
      <c r="AN73" s="657">
        <v>11</v>
      </c>
    </row>
    <row r="74" spans="2:40" ht="39" customHeight="1" x14ac:dyDescent="0.35">
      <c r="B74" s="421" t="s">
        <v>1803</v>
      </c>
      <c r="C74" s="245"/>
      <c r="D74" s="700"/>
      <c r="E74" s="456"/>
      <c r="F74" s="456"/>
      <c r="G74" s="456"/>
      <c r="H74" s="456"/>
      <c r="I74" s="662"/>
      <c r="J74" s="662"/>
      <c r="K74" s="662"/>
      <c r="L74" s="662"/>
      <c r="M74" s="662"/>
      <c r="N74" s="662"/>
      <c r="O74" s="662"/>
      <c r="P74" s="662"/>
      <c r="Q74" s="662"/>
      <c r="R74" s="662"/>
      <c r="S74" s="698"/>
      <c r="T74" s="698"/>
      <c r="U74" s="675">
        <v>8.6999999999999994E-2</v>
      </c>
      <c r="V74" s="663">
        <v>0</v>
      </c>
      <c r="W74" s="663">
        <v>0</v>
      </c>
      <c r="X74" s="699">
        <v>0</v>
      </c>
      <c r="Y74" s="699">
        <v>3.2000000000000001E-2</v>
      </c>
      <c r="Z74" s="699">
        <v>0</v>
      </c>
      <c r="AA74" s="699">
        <v>0</v>
      </c>
      <c r="AB74" s="699">
        <v>0</v>
      </c>
      <c r="AC74" s="699">
        <v>2.5000000000000001E-2</v>
      </c>
      <c r="AD74" s="699">
        <v>0</v>
      </c>
      <c r="AE74" s="699">
        <v>0</v>
      </c>
      <c r="AF74" s="699">
        <v>0</v>
      </c>
      <c r="AG74" s="699">
        <v>2.3E-2</v>
      </c>
      <c r="AH74" s="699">
        <v>0</v>
      </c>
      <c r="AI74" s="699">
        <v>0</v>
      </c>
      <c r="AJ74" s="699">
        <v>0</v>
      </c>
      <c r="AK74" s="699">
        <v>2.3E-2</v>
      </c>
      <c r="AL74" s="699">
        <v>0</v>
      </c>
      <c r="AM74" s="699">
        <v>0</v>
      </c>
      <c r="AN74" s="699">
        <v>0</v>
      </c>
    </row>
    <row r="75" spans="2:40" ht="49.75" customHeight="1" x14ac:dyDescent="0.35">
      <c r="B75" s="488" t="s">
        <v>1426</v>
      </c>
      <c r="C75" s="245"/>
      <c r="D75" s="700">
        <f t="shared" ref="D75:AB75" si="68">D66-D67</f>
        <v>0</v>
      </c>
      <c r="E75" s="456">
        <f t="shared" si="68"/>
        <v>0</v>
      </c>
      <c r="F75" s="456">
        <f t="shared" si="68"/>
        <v>0</v>
      </c>
      <c r="G75" s="456">
        <f t="shared" si="68"/>
        <v>0</v>
      </c>
      <c r="H75" s="456">
        <f t="shared" si="68"/>
        <v>0</v>
      </c>
      <c r="I75" s="456">
        <f t="shared" si="68"/>
        <v>-6.9120000000000346</v>
      </c>
      <c r="J75" s="456">
        <f t="shared" si="68"/>
        <v>-37.9549999999997</v>
      </c>
      <c r="K75" s="456">
        <f t="shared" si="68"/>
        <v>85.725999999999658</v>
      </c>
      <c r="L75" s="456">
        <f t="shared" si="68"/>
        <v>18.405999999999722</v>
      </c>
      <c r="M75" s="456">
        <f t="shared" si="68"/>
        <v>20.282000000000153</v>
      </c>
      <c r="N75" s="456">
        <f t="shared" si="68"/>
        <v>-8.5988400000003367</v>
      </c>
      <c r="O75" s="456">
        <f t="shared" si="68"/>
        <v>-12.537493333333487</v>
      </c>
      <c r="P75" s="456">
        <f t="shared" si="68"/>
        <v>-32.38033333333351</v>
      </c>
      <c r="Q75" s="456">
        <f t="shared" si="68"/>
        <v>72.734879999999521</v>
      </c>
      <c r="R75" s="456">
        <f t="shared" si="68"/>
        <v>75.236879999999019</v>
      </c>
      <c r="S75" s="673">
        <f t="shared" si="68"/>
        <v>66.046879999999419</v>
      </c>
      <c r="T75" s="673">
        <f t="shared" si="68"/>
        <v>90.12587999999937</v>
      </c>
      <c r="U75" s="673">
        <f t="shared" si="68"/>
        <v>55.219026999999414</v>
      </c>
      <c r="V75" s="673">
        <f t="shared" si="68"/>
        <v>69.376026999999112</v>
      </c>
      <c r="W75" s="673">
        <f t="shared" si="68"/>
        <v>73.871026999999231</v>
      </c>
      <c r="X75" s="673">
        <f t="shared" si="68"/>
        <v>92.003026999999292</v>
      </c>
      <c r="Y75" s="673">
        <f t="shared" si="68"/>
        <v>133.13552299999901</v>
      </c>
      <c r="Z75" s="673">
        <f t="shared" si="68"/>
        <v>146.42352299999902</v>
      </c>
      <c r="AA75" s="673">
        <f t="shared" si="68"/>
        <v>149.85352299999886</v>
      </c>
      <c r="AB75" s="673">
        <f t="shared" si="68"/>
        <v>163.69852299999889</v>
      </c>
      <c r="AC75" s="673">
        <f>AC66-AC67</f>
        <v>214.3287979999991</v>
      </c>
      <c r="AD75" s="657">
        <f t="shared" ref="AD75" si="69">AC75</f>
        <v>214.3287979999991</v>
      </c>
      <c r="AE75" s="657">
        <f t="shared" ref="AE75" si="70">AD75</f>
        <v>214.3287979999991</v>
      </c>
      <c r="AF75" s="657">
        <f t="shared" ref="AF75:AH75" si="71">AE75</f>
        <v>214.3287979999991</v>
      </c>
      <c r="AG75" s="657">
        <f t="shared" si="71"/>
        <v>214.3287979999991</v>
      </c>
      <c r="AH75" s="657">
        <f t="shared" si="71"/>
        <v>214.3287979999991</v>
      </c>
      <c r="AI75" s="657">
        <f t="shared" ref="AI75" si="72">AH75</f>
        <v>214.3287979999991</v>
      </c>
      <c r="AJ75" s="657">
        <f t="shared" ref="AJ75" si="73">AI75</f>
        <v>214.3287979999991</v>
      </c>
      <c r="AK75" s="657">
        <f t="shared" ref="AK75" si="74">AJ75</f>
        <v>214.3287979999991</v>
      </c>
      <c r="AL75" s="657">
        <f t="shared" ref="AL75" si="75">AK75</f>
        <v>214.3287979999991</v>
      </c>
      <c r="AM75" s="657">
        <f t="shared" ref="AM75" si="76">AL75</f>
        <v>214.3287979999991</v>
      </c>
      <c r="AN75" s="657">
        <f t="shared" ref="AN75" si="77">AM75</f>
        <v>214.3287979999991</v>
      </c>
    </row>
    <row r="76" spans="2:40" ht="29.5" customHeight="1" x14ac:dyDescent="0.35">
      <c r="B76" s="280"/>
      <c r="C76" s="245"/>
      <c r="D76" s="234"/>
      <c r="E76" s="234"/>
      <c r="F76" s="234"/>
      <c r="G76" s="234"/>
      <c r="H76" s="234"/>
      <c r="I76" s="234"/>
      <c r="J76" s="234"/>
      <c r="K76" s="234"/>
      <c r="L76" s="234"/>
      <c r="M76" s="234"/>
      <c r="N76" s="234"/>
      <c r="O76" s="234"/>
      <c r="P76" s="234"/>
      <c r="Q76" s="234"/>
      <c r="R76" s="234"/>
      <c r="S76" s="234"/>
      <c r="T76" s="234"/>
      <c r="U76" s="234"/>
      <c r="V76" s="234"/>
      <c r="W76" s="234"/>
      <c r="X76" s="234"/>
      <c r="Y76" s="234"/>
      <c r="Z76" s="234"/>
      <c r="AA76" s="234"/>
      <c r="AB76" s="234"/>
      <c r="AC76" s="234"/>
    </row>
    <row r="77" spans="2:40" ht="16.75" customHeight="1" x14ac:dyDescent="0.35">
      <c r="B77" s="559" t="s">
        <v>473</v>
      </c>
      <c r="C77" s="245" t="s">
        <v>474</v>
      </c>
      <c r="D77" s="700">
        <v>983.86099999999999</v>
      </c>
      <c r="E77" s="456">
        <v>1019.19</v>
      </c>
      <c r="F77" s="456">
        <v>1026.704</v>
      </c>
      <c r="G77" s="456">
        <v>1034.4169999999999</v>
      </c>
      <c r="H77" s="456">
        <v>1042.6610000000001</v>
      </c>
      <c r="I77" s="456">
        <v>1068.201</v>
      </c>
      <c r="J77" s="456">
        <v>1075.075</v>
      </c>
      <c r="K77" s="456">
        <v>1080.441</v>
      </c>
      <c r="L77" s="456">
        <v>1087.9949999999999</v>
      </c>
      <c r="M77" s="456">
        <v>1105.6379999999999</v>
      </c>
      <c r="N77" s="456">
        <v>1109.6400000000001</v>
      </c>
      <c r="O77" s="456">
        <v>1116.9480000000001</v>
      </c>
      <c r="P77" s="456">
        <v>1126.174</v>
      </c>
      <c r="Q77" s="456">
        <v>1198.452</v>
      </c>
      <c r="R77" s="456">
        <v>1207.163</v>
      </c>
      <c r="S77" s="673">
        <v>1214.7809999999999</v>
      </c>
      <c r="T77" s="673">
        <v>1225.6189999999999</v>
      </c>
      <c r="U77" s="673">
        <v>1339.904</v>
      </c>
      <c r="V77" s="673">
        <v>1353.2829999999999</v>
      </c>
      <c r="W77" s="673">
        <v>1360.723</v>
      </c>
      <c r="X77" s="673">
        <v>1373.982</v>
      </c>
      <c r="Y77" s="673">
        <v>1426.547</v>
      </c>
      <c r="Z77" s="673">
        <v>1439.73</v>
      </c>
      <c r="AA77" s="673">
        <v>1453.1369999999999</v>
      </c>
      <c r="AB77" s="673">
        <v>1467.9159999999999</v>
      </c>
      <c r="AC77" s="657">
        <v>1511.6139000000001</v>
      </c>
      <c r="AD77" s="657">
        <v>1525.6138999999998</v>
      </c>
      <c r="AE77" s="657">
        <v>1540.6138999999998</v>
      </c>
      <c r="AF77" s="657">
        <v>1556.6138999999998</v>
      </c>
      <c r="AG77" s="657">
        <v>1608.4160196999999</v>
      </c>
      <c r="AH77" s="657">
        <v>1624.4160196999999</v>
      </c>
      <c r="AI77" s="657">
        <v>1640.4160196999999</v>
      </c>
      <c r="AJ77" s="657">
        <v>1655.4160196999999</v>
      </c>
      <c r="AK77" s="657">
        <v>1707.4905881530999</v>
      </c>
      <c r="AL77" s="657">
        <v>1720.4905881530999</v>
      </c>
      <c r="AM77" s="657">
        <v>1732.4905881530999</v>
      </c>
      <c r="AN77" s="657">
        <v>1743.4905881530999</v>
      </c>
    </row>
    <row r="78" spans="2:40" ht="16.75" customHeight="1" x14ac:dyDescent="0.35">
      <c r="B78" s="429" t="s">
        <v>1799</v>
      </c>
      <c r="C78" s="245"/>
      <c r="D78" s="700"/>
      <c r="E78" s="456"/>
      <c r="F78" s="456"/>
      <c r="G78" s="456"/>
      <c r="H78" s="456"/>
      <c r="I78" s="456"/>
      <c r="J78" s="456"/>
      <c r="K78" s="456"/>
      <c r="L78" s="456"/>
      <c r="M78" s="456"/>
      <c r="N78" s="456"/>
      <c r="O78" s="456"/>
      <c r="P78" s="456"/>
      <c r="Q78" s="456"/>
      <c r="R78" s="456"/>
      <c r="S78" s="673"/>
      <c r="T78" s="673"/>
      <c r="U78" s="673">
        <v>114.62885299999998</v>
      </c>
      <c r="V78" s="456">
        <v>8</v>
      </c>
      <c r="W78" s="456">
        <v>11</v>
      </c>
      <c r="X78" s="657">
        <v>14</v>
      </c>
      <c r="Y78" s="657">
        <v>52.967424000000001</v>
      </c>
      <c r="Z78" s="657">
        <v>13</v>
      </c>
      <c r="AA78" s="657">
        <v>11</v>
      </c>
      <c r="AB78" s="657">
        <v>14</v>
      </c>
      <c r="AC78" s="657">
        <v>43.697899999999997</v>
      </c>
      <c r="AD78" s="657">
        <v>14</v>
      </c>
      <c r="AE78" s="657">
        <v>15</v>
      </c>
      <c r="AF78" s="657">
        <v>16</v>
      </c>
      <c r="AG78" s="657">
        <v>51.802119699999999</v>
      </c>
      <c r="AH78" s="657">
        <v>16</v>
      </c>
      <c r="AI78" s="657">
        <v>16</v>
      </c>
      <c r="AJ78" s="657">
        <v>15</v>
      </c>
      <c r="AK78" s="657">
        <v>52.074568453099999</v>
      </c>
      <c r="AL78" s="657">
        <v>13</v>
      </c>
      <c r="AM78" s="657">
        <v>12</v>
      </c>
      <c r="AN78" s="657">
        <v>11</v>
      </c>
    </row>
    <row r="79" spans="2:40" ht="16.75" customHeight="1" x14ac:dyDescent="0.35">
      <c r="B79" s="421" t="s">
        <v>1984</v>
      </c>
      <c r="C79" s="245"/>
      <c r="D79" s="700"/>
      <c r="E79" s="456"/>
      <c r="F79" s="673"/>
      <c r="G79" s="673"/>
      <c r="H79" s="673"/>
      <c r="I79" s="673"/>
      <c r="J79" s="673"/>
      <c r="K79" s="673"/>
      <c r="L79" s="673"/>
      <c r="M79" s="673"/>
      <c r="N79" s="673"/>
      <c r="O79" s="673"/>
      <c r="P79" s="673"/>
      <c r="Q79" s="673"/>
      <c r="R79" s="673"/>
      <c r="S79" s="673"/>
      <c r="T79" s="673"/>
      <c r="U79" s="673">
        <v>8</v>
      </c>
      <c r="V79" s="456">
        <v>8</v>
      </c>
      <c r="W79" s="456">
        <v>11</v>
      </c>
      <c r="X79" s="657">
        <v>14</v>
      </c>
      <c r="Y79" s="657">
        <v>9</v>
      </c>
      <c r="Z79" s="657">
        <v>13</v>
      </c>
      <c r="AA79" s="657">
        <v>11</v>
      </c>
      <c r="AB79" s="657">
        <v>14</v>
      </c>
      <c r="AC79" s="657">
        <v>7</v>
      </c>
      <c r="AD79" s="657">
        <v>14</v>
      </c>
      <c r="AE79" s="657">
        <v>15</v>
      </c>
      <c r="AF79" s="657">
        <v>16</v>
      </c>
      <c r="AG79" s="657">
        <v>16</v>
      </c>
      <c r="AH79" s="657">
        <v>16</v>
      </c>
      <c r="AI79" s="657">
        <v>16</v>
      </c>
      <c r="AJ79" s="657">
        <v>15</v>
      </c>
      <c r="AK79" s="657">
        <v>14</v>
      </c>
      <c r="AL79" s="657">
        <v>13</v>
      </c>
      <c r="AM79" s="657">
        <v>12</v>
      </c>
      <c r="AN79" s="657">
        <v>11</v>
      </c>
    </row>
    <row r="80" spans="2:40" ht="16.75" customHeight="1" x14ac:dyDescent="0.35">
      <c r="B80" s="421" t="s">
        <v>1985</v>
      </c>
      <c r="C80" s="245"/>
      <c r="D80" s="700"/>
      <c r="E80" s="456"/>
      <c r="F80" s="456"/>
      <c r="G80" s="456"/>
      <c r="H80" s="456"/>
      <c r="I80" s="662"/>
      <c r="J80" s="662"/>
      <c r="K80" s="662"/>
      <c r="L80" s="662"/>
      <c r="M80" s="662"/>
      <c r="N80" s="662"/>
      <c r="O80" s="662"/>
      <c r="P80" s="662"/>
      <c r="Q80" s="662"/>
      <c r="R80" s="662"/>
      <c r="S80" s="698"/>
      <c r="T80" s="698"/>
      <c r="U80" s="675">
        <v>8.6999999999999994E-2</v>
      </c>
      <c r="V80" s="663">
        <v>0</v>
      </c>
      <c r="W80" s="663">
        <v>0</v>
      </c>
      <c r="X80" s="699">
        <v>0</v>
      </c>
      <c r="Y80" s="699">
        <v>3.2000000000000001E-2</v>
      </c>
      <c r="Z80" s="699">
        <v>0</v>
      </c>
      <c r="AA80" s="699">
        <v>0</v>
      </c>
      <c r="AB80" s="699">
        <v>0</v>
      </c>
      <c r="AC80" s="699">
        <v>2.5000000000000001E-2</v>
      </c>
      <c r="AD80" s="699">
        <v>0</v>
      </c>
      <c r="AE80" s="699">
        <v>0</v>
      </c>
      <c r="AF80" s="699">
        <v>0</v>
      </c>
      <c r="AG80" s="699">
        <v>2.3E-2</v>
      </c>
      <c r="AH80" s="699">
        <v>0</v>
      </c>
      <c r="AI80" s="699">
        <v>0</v>
      </c>
      <c r="AJ80" s="699">
        <v>0</v>
      </c>
      <c r="AK80" s="699">
        <v>2.3E-2</v>
      </c>
      <c r="AL80" s="699">
        <v>0</v>
      </c>
      <c r="AM80" s="699">
        <v>0</v>
      </c>
      <c r="AN80" s="699">
        <v>0</v>
      </c>
    </row>
    <row r="81" spans="2:40" ht="16.75" customHeight="1" x14ac:dyDescent="0.35">
      <c r="B81" s="488" t="s">
        <v>1426</v>
      </c>
      <c r="C81" s="245"/>
      <c r="D81" s="700">
        <v>0</v>
      </c>
      <c r="E81" s="456">
        <v>0</v>
      </c>
      <c r="F81" s="456">
        <v>0</v>
      </c>
      <c r="G81" s="456">
        <v>0</v>
      </c>
      <c r="H81" s="456">
        <v>0</v>
      </c>
      <c r="I81" s="456">
        <v>-6.9120000000000346</v>
      </c>
      <c r="J81" s="456">
        <v>-37.9549999999997</v>
      </c>
      <c r="K81" s="456">
        <v>85.725999999999658</v>
      </c>
      <c r="L81" s="456">
        <v>18.405999999999722</v>
      </c>
      <c r="M81" s="456">
        <v>20.282000000000153</v>
      </c>
      <c r="N81" s="456">
        <v>-8.5988400000003367</v>
      </c>
      <c r="O81" s="456">
        <v>-12.537493333333487</v>
      </c>
      <c r="P81" s="456">
        <v>-32.38033333333351</v>
      </c>
      <c r="Q81" s="456">
        <v>72.734879999999521</v>
      </c>
      <c r="R81" s="456">
        <v>75.236879999999019</v>
      </c>
      <c r="S81" s="673">
        <v>66.046879999999419</v>
      </c>
      <c r="T81" s="673">
        <v>90.12587999999937</v>
      </c>
      <c r="U81" s="673">
        <v>55.219026999999414</v>
      </c>
      <c r="V81" s="673">
        <v>69.376026999999112</v>
      </c>
      <c r="W81" s="673">
        <v>73.871026999999231</v>
      </c>
      <c r="X81" s="673">
        <v>92.003026999999292</v>
      </c>
      <c r="Y81" s="673">
        <v>133.13552299999901</v>
      </c>
      <c r="Z81" s="673">
        <v>146.42352299999902</v>
      </c>
      <c r="AA81" s="673">
        <v>149.85352299999886</v>
      </c>
      <c r="AB81" s="673">
        <v>163.69852299999889</v>
      </c>
      <c r="AC81" s="657">
        <v>163.69852299999889</v>
      </c>
      <c r="AD81" s="657">
        <v>163.69852299999889</v>
      </c>
      <c r="AE81" s="657">
        <v>163.69852299999889</v>
      </c>
      <c r="AF81" s="657">
        <v>163.69852299999889</v>
      </c>
      <c r="AG81" s="657">
        <v>163.69852299999889</v>
      </c>
      <c r="AH81" s="657">
        <v>163.69852299999889</v>
      </c>
      <c r="AI81" s="657">
        <v>163.69852299999889</v>
      </c>
      <c r="AJ81" s="657">
        <v>163.69852299999889</v>
      </c>
      <c r="AK81" s="657">
        <v>163.69852299999889</v>
      </c>
      <c r="AL81" s="657">
        <v>163.69852299999889</v>
      </c>
      <c r="AM81" s="657">
        <v>163.69852299999889</v>
      </c>
      <c r="AN81" s="657">
        <v>163.69852299999889</v>
      </c>
    </row>
    <row r="82" spans="2:40" ht="16.75" customHeight="1" x14ac:dyDescent="0.35">
      <c r="B82" s="230"/>
      <c r="C82" s="245"/>
      <c r="S82" s="234"/>
      <c r="T82" s="234"/>
      <c r="U82" s="234"/>
      <c r="V82" s="234"/>
      <c r="W82" s="234"/>
      <c r="X82" s="234"/>
      <c r="Y82" s="234"/>
      <c r="Z82" s="234"/>
      <c r="AA82" s="234"/>
      <c r="AB82" s="234"/>
      <c r="AC82" s="234"/>
      <c r="AD82" s="526"/>
    </row>
    <row r="83" spans="2:40" ht="16.75" customHeight="1" x14ac:dyDescent="0.35">
      <c r="B83" s="230"/>
      <c r="C83" s="245"/>
      <c r="S83" s="234"/>
      <c r="T83" s="234"/>
      <c r="U83" s="234"/>
      <c r="V83" s="234"/>
      <c r="W83" s="234"/>
      <c r="X83" s="234"/>
      <c r="Y83" s="234"/>
      <c r="Z83" s="234"/>
      <c r="AA83" s="234"/>
      <c r="AB83" s="234"/>
      <c r="AC83" s="234"/>
      <c r="AD83" s="526"/>
    </row>
    <row r="84" spans="2:40" ht="16.75" customHeight="1" x14ac:dyDescent="0.35">
      <c r="B84" s="245"/>
      <c r="C84" s="245"/>
      <c r="S84" s="245"/>
      <c r="T84" s="245"/>
      <c r="U84" s="456"/>
      <c r="V84" s="456"/>
      <c r="W84" s="456"/>
      <c r="X84" s="456"/>
      <c r="Y84" s="456"/>
      <c r="Z84" s="456"/>
      <c r="AA84" s="456"/>
      <c r="AB84" s="456"/>
      <c r="AC84" s="456"/>
      <c r="AD84" s="526"/>
    </row>
    <row r="85" spans="2:40" ht="16.75" customHeight="1" x14ac:dyDescent="0.35">
      <c r="B85" s="230"/>
      <c r="C85" s="245"/>
      <c r="S85" s="245"/>
      <c r="T85" s="245"/>
      <c r="U85" s="456"/>
      <c r="V85" s="456"/>
      <c r="W85" s="456"/>
      <c r="X85" s="456"/>
      <c r="Y85" s="456"/>
      <c r="Z85" s="456"/>
      <c r="AA85" s="456"/>
      <c r="AB85" s="456"/>
      <c r="AC85" s="456"/>
      <c r="AD85" s="526"/>
    </row>
    <row r="86" spans="2:40" ht="16.75" customHeight="1" x14ac:dyDescent="0.35">
      <c r="B86" s="230"/>
      <c r="C86" s="245"/>
      <c r="S86" s="245"/>
      <c r="T86" s="245"/>
      <c r="U86" s="234"/>
      <c r="V86" s="234"/>
      <c r="W86" s="234"/>
      <c r="X86" s="234"/>
      <c r="Y86" s="234"/>
      <c r="Z86" s="234"/>
      <c r="AA86" s="234"/>
      <c r="AB86" s="234"/>
      <c r="AC86" s="234"/>
      <c r="AD86" s="526"/>
    </row>
    <row r="87" spans="2:40" ht="16.75" customHeight="1" x14ac:dyDescent="0.35">
      <c r="B87" s="230"/>
      <c r="C87" s="245"/>
      <c r="S87" s="245"/>
      <c r="T87" s="245"/>
      <c r="U87" s="676"/>
      <c r="V87" s="676"/>
      <c r="W87" s="676"/>
      <c r="X87" s="676"/>
      <c r="Y87" s="676"/>
      <c r="Z87" s="676"/>
      <c r="AA87" s="676"/>
      <c r="AB87" s="676"/>
      <c r="AC87" s="676"/>
      <c r="AD87" s="526"/>
    </row>
    <row r="88" spans="2:40" ht="16.75" customHeight="1" x14ac:dyDescent="0.35">
      <c r="B88" s="245"/>
      <c r="C88" s="245"/>
      <c r="S88" s="234"/>
      <c r="T88" s="234"/>
      <c r="U88" s="234"/>
      <c r="V88" s="234"/>
      <c r="W88" s="234"/>
      <c r="X88" s="234"/>
      <c r="Y88" s="234"/>
      <c r="Z88" s="234"/>
      <c r="AA88" s="234"/>
      <c r="AB88" s="234"/>
      <c r="AC88" s="234"/>
      <c r="AD88" s="526"/>
    </row>
    <row r="89" spans="2:40" ht="22.5" customHeight="1" x14ac:dyDescent="0.35">
      <c r="B89" s="280"/>
      <c r="C89" s="245"/>
      <c r="D89" s="234"/>
      <c r="E89" s="234"/>
      <c r="F89" s="234"/>
      <c r="G89" s="234"/>
      <c r="H89" s="234"/>
      <c r="I89" s="234"/>
      <c r="J89" s="234"/>
      <c r="K89" s="234"/>
      <c r="L89" s="234"/>
      <c r="M89" s="234"/>
      <c r="N89" s="234"/>
      <c r="O89" s="234"/>
      <c r="P89" s="234"/>
      <c r="Q89" s="234"/>
      <c r="R89" s="234"/>
      <c r="S89" s="234"/>
      <c r="T89" s="234"/>
      <c r="U89" s="234"/>
      <c r="V89" s="234"/>
      <c r="W89" s="234"/>
      <c r="X89" s="234"/>
      <c r="Y89" s="234"/>
      <c r="Z89" s="234"/>
      <c r="AA89" s="234"/>
      <c r="AB89" s="234"/>
      <c r="AC89" s="234"/>
    </row>
    <row r="90" spans="2:40" ht="22.5" customHeight="1" x14ac:dyDescent="0.35">
      <c r="B90" s="280"/>
      <c r="C90" s="245"/>
      <c r="D90" s="234"/>
      <c r="E90" s="234"/>
      <c r="F90" s="234"/>
      <c r="G90" s="234"/>
      <c r="H90" s="234"/>
      <c r="I90" s="234"/>
      <c r="J90" s="234"/>
      <c r="K90" s="234"/>
      <c r="L90" s="234"/>
      <c r="M90" s="234"/>
      <c r="N90" s="234"/>
      <c r="O90" s="234"/>
      <c r="P90" s="234"/>
      <c r="Q90" s="234"/>
      <c r="R90" s="234"/>
      <c r="S90" s="234"/>
      <c r="T90" s="234"/>
      <c r="U90" s="234"/>
      <c r="V90" s="234"/>
      <c r="W90" s="234"/>
      <c r="X90" s="234"/>
      <c r="Y90" s="234"/>
      <c r="Z90" s="234"/>
      <c r="AA90" s="234"/>
      <c r="AB90" s="234"/>
      <c r="AC90" s="234"/>
    </row>
    <row r="91" spans="2:40" ht="38.5" customHeight="1" x14ac:dyDescent="0.35">
      <c r="B91" s="652"/>
      <c r="C91" s="653">
        <v>2016</v>
      </c>
      <c r="D91" s="654">
        <f>C91+1</f>
        <v>2017</v>
      </c>
      <c r="E91" s="654">
        <f t="shared" ref="E91:R91" si="78">D91+1</f>
        <v>2018</v>
      </c>
      <c r="F91" s="654">
        <f t="shared" si="78"/>
        <v>2019</v>
      </c>
      <c r="G91" s="654">
        <f t="shared" si="78"/>
        <v>2020</v>
      </c>
      <c r="H91" s="654">
        <f t="shared" si="78"/>
        <v>2021</v>
      </c>
      <c r="I91" s="654">
        <f t="shared" si="78"/>
        <v>2022</v>
      </c>
      <c r="J91" s="654">
        <f t="shared" si="78"/>
        <v>2023</v>
      </c>
      <c r="K91" s="654">
        <f t="shared" si="78"/>
        <v>2024</v>
      </c>
      <c r="L91" s="654">
        <f t="shared" si="78"/>
        <v>2025</v>
      </c>
      <c r="M91" s="654">
        <f t="shared" si="78"/>
        <v>2026</v>
      </c>
      <c r="N91" s="654">
        <f t="shared" si="78"/>
        <v>2027</v>
      </c>
      <c r="O91" s="654">
        <f t="shared" si="78"/>
        <v>2028</v>
      </c>
      <c r="P91" s="654">
        <f t="shared" si="78"/>
        <v>2029</v>
      </c>
      <c r="Q91" s="654">
        <f t="shared" si="78"/>
        <v>2030</v>
      </c>
      <c r="R91" s="654">
        <f t="shared" si="78"/>
        <v>2031</v>
      </c>
      <c r="S91" s="234"/>
      <c r="T91" s="234"/>
      <c r="U91" s="234"/>
      <c r="V91" s="234"/>
      <c r="W91" s="234"/>
      <c r="X91" s="234"/>
      <c r="Y91" s="234"/>
      <c r="Z91" s="234"/>
      <c r="AA91" s="234"/>
      <c r="AB91" s="234"/>
      <c r="AC91" s="234"/>
    </row>
    <row r="92" spans="2:40" ht="38.5" customHeight="1" x14ac:dyDescent="0.35">
      <c r="B92" s="658" t="s">
        <v>1978</v>
      </c>
      <c r="C92">
        <v>910.3</v>
      </c>
      <c r="D92">
        <v>939.2</v>
      </c>
      <c r="E92">
        <v>982</v>
      </c>
      <c r="F92">
        <v>1038.5</v>
      </c>
      <c r="G92">
        <v>1089.9000000000001</v>
      </c>
      <c r="H92">
        <v>1128.8</v>
      </c>
      <c r="I92">
        <v>1212.5</v>
      </c>
      <c r="J92">
        <v>1348</v>
      </c>
      <c r="K92">
        <v>1454.424</v>
      </c>
      <c r="L92">
        <v>1572.1079999999999</v>
      </c>
      <c r="M92">
        <v>1664.223</v>
      </c>
      <c r="N92">
        <v>1760.8779999999999</v>
      </c>
      <c r="O92">
        <v>1865.222</v>
      </c>
      <c r="P92">
        <v>1967.5059999999999</v>
      </c>
      <c r="Q92">
        <v>2071.6129999999998</v>
      </c>
      <c r="R92">
        <v>2179.337</v>
      </c>
      <c r="S92" s="266">
        <v>2288.683</v>
      </c>
      <c r="T92" s="266">
        <v>2399.4650000000001</v>
      </c>
      <c r="U92" s="266">
        <v>2510.5969999999998</v>
      </c>
      <c r="V92" s="234">
        <v>2623.808</v>
      </c>
      <c r="W92" s="234"/>
      <c r="X92" s="234"/>
      <c r="Y92" s="234"/>
      <c r="Z92" s="234"/>
      <c r="AA92" s="234"/>
      <c r="AB92" s="234"/>
      <c r="AC92" s="234"/>
    </row>
    <row r="93" spans="2:40" ht="38.5" customHeight="1" x14ac:dyDescent="0.35">
      <c r="B93" s="406" t="s">
        <v>1979</v>
      </c>
      <c r="C93">
        <v>890.39374999999995</v>
      </c>
      <c r="D93">
        <v>918.71375</v>
      </c>
      <c r="E93">
        <v>960.61400000000003</v>
      </c>
      <c r="F93">
        <v>1016.043</v>
      </c>
      <c r="G93">
        <v>1066.5944999999999</v>
      </c>
      <c r="H93">
        <v>1105.0552499999999</v>
      </c>
      <c r="I93">
        <v>1186.6424999999999</v>
      </c>
      <c r="J93">
        <v>1319.8822500000001</v>
      </c>
      <c r="K93">
        <v>1423.3489999999999</v>
      </c>
      <c r="L93" s="266">
        <f>AVERAGE(AB71:AE71)</f>
        <v>1550.2107499999997</v>
      </c>
      <c r="M93" s="266">
        <f>AVERAGE(AF71:AI71)</f>
        <v>1675.0669402499998</v>
      </c>
      <c r="N93" s="266">
        <f>AVERAGE(AJ71:AM71)</f>
        <v>1773.1282298757501</v>
      </c>
      <c r="S93" s="234"/>
      <c r="T93" s="234"/>
      <c r="U93" s="234"/>
      <c r="V93" s="234"/>
      <c r="W93" s="234"/>
      <c r="X93" s="234"/>
      <c r="Y93" s="234"/>
      <c r="Z93" s="234"/>
      <c r="AA93" s="234"/>
      <c r="AB93" s="234"/>
      <c r="AC93" s="234"/>
    </row>
    <row r="94" spans="2:40" ht="69" customHeight="1" x14ac:dyDescent="0.35">
      <c r="B94" s="280" t="s">
        <v>1980</v>
      </c>
      <c r="C94" s="245">
        <f>C93/C92</f>
        <v>0.97813220916181476</v>
      </c>
      <c r="D94" s="245">
        <f t="shared" ref="D94:K94" si="79">D93/D92</f>
        <v>0.97818755323679718</v>
      </c>
      <c r="E94" s="245">
        <f t="shared" si="79"/>
        <v>0.97822199592668024</v>
      </c>
      <c r="F94" s="245">
        <f t="shared" si="79"/>
        <v>0.97837554164660567</v>
      </c>
      <c r="G94" s="245">
        <f t="shared" si="79"/>
        <v>0.97861684558216333</v>
      </c>
      <c r="H94" s="245">
        <f t="shared" si="79"/>
        <v>0.9789646084337349</v>
      </c>
      <c r="I94" s="245">
        <f t="shared" si="79"/>
        <v>0.97867422680412364</v>
      </c>
      <c r="J94" s="245">
        <f t="shared" si="79"/>
        <v>0.97914113501483691</v>
      </c>
      <c r="K94" s="245">
        <f t="shared" si="79"/>
        <v>0.97863415345181315</v>
      </c>
      <c r="L94" s="245">
        <f t="shared" ref="L94" si="80">L93/L92</f>
        <v>0.98607140858007192</v>
      </c>
      <c r="M94" s="245">
        <f t="shared" ref="M94" si="81">M93/M92</f>
        <v>1.0065159177886616</v>
      </c>
      <c r="N94" s="245">
        <f t="shared" ref="N94" si="82">N93/N92</f>
        <v>1.0069568873458299</v>
      </c>
      <c r="P94" s="234"/>
      <c r="Q94" s="234"/>
      <c r="R94" s="234"/>
      <c r="S94" s="234"/>
      <c r="T94" s="234"/>
      <c r="U94" s="234"/>
      <c r="V94" s="234"/>
      <c r="W94" s="234"/>
      <c r="X94" s="234"/>
      <c r="Y94" s="234"/>
      <c r="Z94" s="234"/>
      <c r="AA94" s="234"/>
      <c r="AB94" s="234"/>
      <c r="AC94" s="234"/>
    </row>
    <row r="95" spans="2:40" x14ac:dyDescent="0.35">
      <c r="I95" s="245"/>
      <c r="J95" s="245"/>
      <c r="K95" s="245"/>
      <c r="L95" s="245">
        <f>L92*$K$94</f>
        <v>1538.5185817148231</v>
      </c>
      <c r="M95" s="245">
        <f t="shared" ref="M95:N95" si="83">M92*$K$94</f>
        <v>1628.6654667600367</v>
      </c>
      <c r="N95" s="245">
        <f t="shared" si="83"/>
        <v>1723.2553508619217</v>
      </c>
      <c r="P95" s="245"/>
    </row>
    <row r="96" spans="2:40" x14ac:dyDescent="0.35">
      <c r="L96" s="74">
        <f>L95-L93</f>
        <v>-11.692168285176649</v>
      </c>
      <c r="M96" s="74">
        <f t="shared" ref="M96:N96" si="84">M95-M93</f>
        <v>-46.401473489963109</v>
      </c>
      <c r="N96" s="74">
        <f t="shared" si="84"/>
        <v>-49.872879013828424</v>
      </c>
      <c r="R96" s="526"/>
    </row>
    <row r="98" spans="3:14" x14ac:dyDescent="0.35">
      <c r="C98" t="e">
        <f t="shared" ref="C98:M98" si="85">C92/B92-1</f>
        <v>#VALUE!</v>
      </c>
      <c r="D98">
        <f t="shared" si="85"/>
        <v>3.1747775458640159E-2</v>
      </c>
      <c r="E98">
        <f t="shared" si="85"/>
        <v>4.557069846678008E-2</v>
      </c>
      <c r="F98">
        <f t="shared" si="85"/>
        <v>5.7535641547861616E-2</v>
      </c>
      <c r="G98">
        <f t="shared" si="85"/>
        <v>4.9494463168030967E-2</v>
      </c>
      <c r="H98">
        <f t="shared" si="85"/>
        <v>3.5691347830075992E-2</v>
      </c>
      <c r="I98">
        <f t="shared" si="85"/>
        <v>7.4149539333805858E-2</v>
      </c>
      <c r="J98">
        <f t="shared" si="85"/>
        <v>0.11175257731958754</v>
      </c>
      <c r="K98">
        <f t="shared" si="85"/>
        <v>7.8949554896142526E-2</v>
      </c>
      <c r="L98">
        <f t="shared" si="85"/>
        <v>8.0914506361281058E-2</v>
      </c>
      <c r="M98">
        <f t="shared" si="85"/>
        <v>5.8593302750192811E-2</v>
      </c>
      <c r="N98">
        <f>N92/M92-1</f>
        <v>5.8078154189672881E-2</v>
      </c>
    </row>
    <row r="99" spans="3:14" ht="13.4" customHeight="1" x14ac:dyDescent="0.35"/>
    <row r="103" spans="3:14" ht="27.65" customHeight="1" x14ac:dyDescent="0.35"/>
  </sheetData>
  <mergeCells count="35">
    <mergeCell ref="B59:C61"/>
    <mergeCell ref="E60:H60"/>
    <mergeCell ref="I60:L60"/>
    <mergeCell ref="M48:P48"/>
    <mergeCell ref="M60:P60"/>
    <mergeCell ref="D59:AB59"/>
    <mergeCell ref="B11:C11"/>
    <mergeCell ref="B46:AC46"/>
    <mergeCell ref="B47:C49"/>
    <mergeCell ref="E48:H48"/>
    <mergeCell ref="I48:L48"/>
    <mergeCell ref="B35:C35"/>
    <mergeCell ref="AC48:AF48"/>
    <mergeCell ref="AC47:AN47"/>
    <mergeCell ref="D47:AB47"/>
    <mergeCell ref="B1:AC1"/>
    <mergeCell ref="B2:AC6"/>
    <mergeCell ref="E9:H9"/>
    <mergeCell ref="I9:L9"/>
    <mergeCell ref="M9:P9"/>
    <mergeCell ref="Q9:T9"/>
    <mergeCell ref="AC9:AF9"/>
    <mergeCell ref="AC8:AN8"/>
    <mergeCell ref="D8:AB8"/>
    <mergeCell ref="AK60:AN60"/>
    <mergeCell ref="AK9:AN9"/>
    <mergeCell ref="AK48:AN48"/>
    <mergeCell ref="U9:X9"/>
    <mergeCell ref="Q60:T60"/>
    <mergeCell ref="AC60:AF60"/>
    <mergeCell ref="AG48:AJ48"/>
    <mergeCell ref="AG60:AJ60"/>
    <mergeCell ref="Q48:T48"/>
    <mergeCell ref="AG9:AJ9"/>
    <mergeCell ref="AC59:AN59"/>
  </mergeCells>
  <pageMargins left="0.7" right="0.7" top="0.75" bottom="0.75" header="0.3" footer="0.3"/>
  <pageSetup paperSize="9" orientation="portrait" horizontalDpi="300" verticalDpi="300" r:id="rId1"/>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N88"/>
  <sheetViews>
    <sheetView zoomScale="82" zoomScaleNormal="100" workbookViewId="0">
      <selection activeCell="B2" sqref="B2:R4"/>
    </sheetView>
  </sheetViews>
  <sheetFormatPr defaultColWidth="10.90625" defaultRowHeight="14.5" x14ac:dyDescent="0.35"/>
  <cols>
    <col min="1" max="1" width="17.26953125" customWidth="1"/>
  </cols>
  <sheetData>
    <row r="1" spans="2:40" x14ac:dyDescent="0.35">
      <c r="B1" s="1253" t="s">
        <v>1902</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2:40" ht="14.25" customHeight="1" x14ac:dyDescent="0.35">
      <c r="B2" s="1254" t="s">
        <v>1903</v>
      </c>
      <c r="C2" s="1254"/>
      <c r="D2" s="1254"/>
      <c r="E2" s="1254"/>
      <c r="F2" s="1254"/>
      <c r="G2" s="1254"/>
      <c r="H2" s="1254"/>
      <c r="I2" s="1254"/>
      <c r="J2" s="1254"/>
      <c r="K2" s="1254"/>
      <c r="L2" s="1254"/>
      <c r="M2" s="1254"/>
      <c r="N2" s="1254"/>
      <c r="O2" s="1254"/>
      <c r="P2" s="1254"/>
      <c r="Q2" s="1254"/>
      <c r="R2" s="1254"/>
      <c r="S2" s="591"/>
      <c r="T2" s="1392"/>
      <c r="U2" s="1392"/>
      <c r="V2" s="1392"/>
      <c r="W2" s="1392"/>
      <c r="X2" s="1392"/>
      <c r="Y2" s="1392"/>
      <c r="Z2" s="1392"/>
      <c r="AA2" s="1392"/>
      <c r="AB2" s="1392"/>
      <c r="AC2" s="1392"/>
    </row>
    <row r="3" spans="2:40" x14ac:dyDescent="0.35">
      <c r="B3" s="1254"/>
      <c r="C3" s="1254"/>
      <c r="D3" s="1254"/>
      <c r="E3" s="1254"/>
      <c r="F3" s="1254"/>
      <c r="G3" s="1254"/>
      <c r="H3" s="1254"/>
      <c r="I3" s="1254"/>
      <c r="J3" s="1254"/>
      <c r="K3" s="1254"/>
      <c r="L3" s="1254"/>
      <c r="M3" s="1254"/>
      <c r="N3" s="1254"/>
      <c r="O3" s="1254"/>
      <c r="P3" s="1254"/>
      <c r="Q3" s="1254"/>
      <c r="R3" s="1254"/>
      <c r="S3" s="591"/>
      <c r="T3" s="1392"/>
      <c r="U3" s="1392"/>
      <c r="V3" s="1392"/>
      <c r="W3" s="1392"/>
      <c r="X3" s="1392"/>
      <c r="Y3" s="1392"/>
      <c r="Z3" s="1392"/>
      <c r="AA3" s="1392"/>
      <c r="AB3" s="1392"/>
      <c r="AC3" s="1392"/>
    </row>
    <row r="4" spans="2:40" ht="21" customHeight="1" x14ac:dyDescent="0.35">
      <c r="B4" s="1254"/>
      <c r="C4" s="1254"/>
      <c r="D4" s="1254"/>
      <c r="E4" s="1254"/>
      <c r="F4" s="1254"/>
      <c r="G4" s="1254"/>
      <c r="H4" s="1254"/>
      <c r="I4" s="1254"/>
      <c r="J4" s="1254"/>
      <c r="K4" s="1254"/>
      <c r="L4" s="1254"/>
      <c r="M4" s="1254"/>
      <c r="N4" s="1254"/>
      <c r="O4" s="1254"/>
      <c r="P4" s="1254"/>
      <c r="Q4" s="1254"/>
      <c r="R4" s="1254"/>
      <c r="S4" s="591"/>
      <c r="T4" s="1392"/>
      <c r="U4" s="1392"/>
      <c r="V4" s="1392"/>
      <c r="W4" s="1392"/>
      <c r="X4" s="1392"/>
      <c r="Y4" s="1392"/>
      <c r="Z4" s="1392"/>
      <c r="AA4" s="1392"/>
      <c r="AB4" s="1392"/>
      <c r="AC4" s="1392"/>
    </row>
    <row r="6" spans="2:40" x14ac:dyDescent="0.35">
      <c r="B6" s="523" t="s">
        <v>332</v>
      </c>
    </row>
    <row r="7" spans="2:40" ht="14.9" customHeight="1" x14ac:dyDescent="0.35">
      <c r="B7" s="1256" t="s">
        <v>1874</v>
      </c>
      <c r="C7" s="1257"/>
      <c r="D7" s="1274" t="s">
        <v>279</v>
      </c>
      <c r="E7" s="1275"/>
      <c r="F7" s="1275"/>
      <c r="G7" s="1275"/>
      <c r="H7" s="1275"/>
      <c r="I7" s="1275"/>
      <c r="J7" s="1275"/>
      <c r="K7" s="1275"/>
      <c r="L7" s="1275"/>
      <c r="M7" s="1275"/>
      <c r="N7" s="1275"/>
      <c r="O7" s="1275"/>
      <c r="P7" s="1275"/>
      <c r="Q7" s="1275"/>
      <c r="R7" s="1275"/>
      <c r="S7" s="1275"/>
      <c r="T7" s="1275"/>
      <c r="U7" s="1259"/>
      <c r="V7" s="1350"/>
      <c r="W7" s="1393" t="s">
        <v>280</v>
      </c>
      <c r="X7" s="1394"/>
      <c r="Y7" s="1394"/>
      <c r="Z7" s="1394"/>
      <c r="AA7" s="1394"/>
      <c r="AB7" s="1394"/>
      <c r="AC7" s="1394"/>
      <c r="AD7" s="1394"/>
      <c r="AE7" s="1394"/>
      <c r="AF7" s="1394"/>
      <c r="AG7" s="1394"/>
      <c r="AH7" s="1394"/>
      <c r="AI7" s="1394"/>
      <c r="AJ7" s="1394"/>
      <c r="AK7" s="1394"/>
      <c r="AL7" s="1394"/>
      <c r="AM7" s="1394"/>
      <c r="AN7" s="1394"/>
    </row>
    <row r="8" spans="2:40" x14ac:dyDescent="0.35">
      <c r="B8" s="1258"/>
      <c r="C8" s="1350"/>
      <c r="D8" s="293">
        <v>2018</v>
      </c>
      <c r="E8" s="1264">
        <v>2019</v>
      </c>
      <c r="F8" s="1359"/>
      <c r="G8" s="1359"/>
      <c r="H8" s="1266"/>
      <c r="I8" s="1264">
        <v>2020</v>
      </c>
      <c r="J8" s="1359"/>
      <c r="K8" s="1359"/>
      <c r="L8" s="1359"/>
      <c r="M8" s="1264">
        <v>2021</v>
      </c>
      <c r="N8" s="1359"/>
      <c r="O8" s="1359"/>
      <c r="P8" s="1265"/>
      <c r="Q8" s="1264">
        <v>2022</v>
      </c>
      <c r="R8" s="1265"/>
      <c r="S8" s="1265"/>
      <c r="T8" s="1265"/>
      <c r="U8" s="453"/>
      <c r="V8" s="299">
        <v>2023</v>
      </c>
      <c r="W8" s="335"/>
      <c r="X8" s="332"/>
      <c r="Y8" s="1271">
        <v>2024</v>
      </c>
      <c r="Z8" s="1352"/>
      <c r="AA8" s="1352"/>
      <c r="AB8" s="1272"/>
      <c r="AC8" s="1270">
        <v>2025</v>
      </c>
      <c r="AD8" s="1352"/>
      <c r="AE8" s="1352"/>
      <c r="AF8" s="1272"/>
      <c r="AG8" s="1270">
        <v>2026</v>
      </c>
      <c r="AH8" s="1352"/>
      <c r="AI8" s="1352"/>
      <c r="AJ8" s="1272"/>
      <c r="AK8" s="1270">
        <v>2027</v>
      </c>
      <c r="AL8" s="1352"/>
      <c r="AM8" s="1352"/>
      <c r="AN8" s="1272"/>
    </row>
    <row r="9" spans="2:40" x14ac:dyDescent="0.35">
      <c r="B9" s="1274"/>
      <c r="C9" s="1351"/>
      <c r="D9" s="221" t="s">
        <v>281</v>
      </c>
      <c r="E9" s="221" t="s">
        <v>282</v>
      </c>
      <c r="F9" s="222" t="s">
        <v>283</v>
      </c>
      <c r="G9" s="222" t="s">
        <v>238</v>
      </c>
      <c r="H9" s="228" t="s">
        <v>281</v>
      </c>
      <c r="I9" s="222" t="s">
        <v>282</v>
      </c>
      <c r="J9" s="222" t="s">
        <v>283</v>
      </c>
      <c r="K9" s="222" t="s">
        <v>238</v>
      </c>
      <c r="L9" s="222" t="s">
        <v>281</v>
      </c>
      <c r="M9" s="221" t="s">
        <v>282</v>
      </c>
      <c r="N9" s="222" t="s">
        <v>283</v>
      </c>
      <c r="O9" s="222" t="s">
        <v>238</v>
      </c>
      <c r="P9" s="222" t="s">
        <v>281</v>
      </c>
      <c r="Q9" s="221" t="s">
        <v>282</v>
      </c>
      <c r="R9" s="222" t="s">
        <v>283</v>
      </c>
      <c r="S9" s="222" t="s">
        <v>238</v>
      </c>
      <c r="T9" s="222" t="s">
        <v>281</v>
      </c>
      <c r="U9" s="282" t="s">
        <v>282</v>
      </c>
      <c r="V9" s="283" t="s">
        <v>283</v>
      </c>
      <c r="W9" s="269" t="s">
        <v>238</v>
      </c>
      <c r="X9" s="298" t="s">
        <v>281</v>
      </c>
      <c r="Y9" s="269" t="s">
        <v>282</v>
      </c>
      <c r="Z9" s="267" t="s">
        <v>283</v>
      </c>
      <c r="AA9" s="269" t="s">
        <v>238</v>
      </c>
      <c r="AB9" s="269" t="s">
        <v>281</v>
      </c>
      <c r="AC9" s="296" t="s">
        <v>282</v>
      </c>
      <c r="AD9" s="267" t="s">
        <v>283</v>
      </c>
      <c r="AE9" s="269" t="s">
        <v>238</v>
      </c>
      <c r="AF9" s="269" t="s">
        <v>281</v>
      </c>
      <c r="AG9" s="296" t="s">
        <v>282</v>
      </c>
      <c r="AH9" s="267" t="s">
        <v>283</v>
      </c>
      <c r="AI9" s="269" t="s">
        <v>238</v>
      </c>
      <c r="AJ9" s="298" t="s">
        <v>281</v>
      </c>
      <c r="AK9" s="296" t="s">
        <v>282</v>
      </c>
      <c r="AL9" s="267" t="s">
        <v>283</v>
      </c>
      <c r="AM9" s="269" t="s">
        <v>238</v>
      </c>
      <c r="AN9" s="298" t="s">
        <v>281</v>
      </c>
    </row>
    <row r="10" spans="2:40" x14ac:dyDescent="0.35">
      <c r="S10" s="757" t="s">
        <v>184</v>
      </c>
      <c r="T10" s="757" t="s">
        <v>185</v>
      </c>
      <c r="U10" s="757" t="s">
        <v>186</v>
      </c>
      <c r="V10" s="757" t="s">
        <v>187</v>
      </c>
      <c r="W10" s="757" t="s">
        <v>188</v>
      </c>
      <c r="X10" s="757" t="s">
        <v>189</v>
      </c>
      <c r="Y10" s="757" t="s">
        <v>190</v>
      </c>
      <c r="Z10" s="757" t="s">
        <v>191</v>
      </c>
      <c r="AA10" s="757" t="s">
        <v>175</v>
      </c>
      <c r="AB10" s="757" t="s">
        <v>176</v>
      </c>
      <c r="AC10" s="757" t="s">
        <v>177</v>
      </c>
      <c r="AD10" s="757" t="s">
        <v>763</v>
      </c>
      <c r="AE10" s="757" t="s">
        <v>764</v>
      </c>
      <c r="AF10" s="757" t="s">
        <v>765</v>
      </c>
      <c r="AG10" s="757" t="s">
        <v>1151</v>
      </c>
      <c r="AH10" s="757" t="s">
        <v>1152</v>
      </c>
      <c r="AI10" s="757" t="s">
        <v>1153</v>
      </c>
      <c r="AJ10" s="757" t="s">
        <v>1154</v>
      </c>
      <c r="AK10" s="757" t="s">
        <v>1155</v>
      </c>
      <c r="AL10" s="757" t="s">
        <v>1156</v>
      </c>
      <c r="AM10" s="757" t="s">
        <v>1157</v>
      </c>
      <c r="AN10" s="757" t="s">
        <v>1158</v>
      </c>
    </row>
    <row r="11" spans="2:40" x14ac:dyDescent="0.35">
      <c r="S11" s="755"/>
      <c r="T11" s="755"/>
      <c r="U11" s="755"/>
      <c r="V11" s="755"/>
      <c r="W11" s="755"/>
      <c r="X11" s="755"/>
      <c r="Y11" s="755"/>
      <c r="Z11" s="755"/>
      <c r="AA11" s="755"/>
      <c r="AB11" s="755"/>
      <c r="AC11" s="755"/>
      <c r="AD11" s="755"/>
      <c r="AE11" s="755"/>
      <c r="AF11" s="755"/>
      <c r="AG11" s="755"/>
      <c r="AH11" s="755"/>
    </row>
    <row r="12" spans="2:40" x14ac:dyDescent="0.35">
      <c r="B12" s="755" t="s">
        <v>1847</v>
      </c>
      <c r="P12" t="s">
        <v>1847</v>
      </c>
      <c r="S12" s="149">
        <v>4.0506371546650453</v>
      </c>
      <c r="T12" s="149">
        <v>6.7510619244417409</v>
      </c>
      <c r="U12" s="149">
        <v>25.428999915397224</v>
      </c>
      <c r="V12" s="149">
        <v>38.481052969317929</v>
      </c>
      <c r="W12" s="149">
        <v>51.308070625757232</v>
      </c>
      <c r="X12" s="149">
        <v>56.236345830599703</v>
      </c>
      <c r="Y12" s="149">
        <v>63.685017487233758</v>
      </c>
      <c r="Z12" s="149">
        <v>69.310902424268548</v>
      </c>
      <c r="AA12" s="149">
        <v>64.357873325703125</v>
      </c>
      <c r="AB12" s="149">
        <v>57.18149450002155</v>
      </c>
      <c r="AC12" s="149">
        <v>59.094295378613374</v>
      </c>
      <c r="AD12" s="149">
        <v>70.233547553942245</v>
      </c>
      <c r="AE12" s="149">
        <v>81.462813888263668</v>
      </c>
      <c r="AF12" s="149">
        <v>86.188557235372897</v>
      </c>
      <c r="AG12" s="149">
        <v>105.31656602129117</v>
      </c>
      <c r="AH12" s="149">
        <v>120.73149074876648</v>
      </c>
      <c r="AI12" s="149">
        <v>126.01869741259176</v>
      </c>
      <c r="AJ12" s="149">
        <v>123.55455981017052</v>
      </c>
      <c r="AK12" s="149">
        <v>112.20152400723433</v>
      </c>
      <c r="AL12" s="149">
        <v>93.984908581115704</v>
      </c>
      <c r="AM12" s="149">
        <v>72.945224093593026</v>
      </c>
      <c r="AN12" s="149">
        <v>47.054901613358936</v>
      </c>
    </row>
    <row r="13" spans="2:40" x14ac:dyDescent="0.35">
      <c r="B13" s="755" t="s">
        <v>1848</v>
      </c>
      <c r="P13" t="s">
        <v>1848</v>
      </c>
      <c r="S13" s="291">
        <f>Deflators!S72</f>
        <v>1.1700921610724198</v>
      </c>
      <c r="T13" s="291">
        <f>Deflators!T72</f>
        <v>1.1816953797963978</v>
      </c>
      <c r="U13" s="291">
        <f>Deflators!U72</f>
        <v>1.1931632087271602</v>
      </c>
      <c r="V13" s="291">
        <f>Deflators!V72</f>
        <v>1.201768659356208</v>
      </c>
      <c r="W13" s="291">
        <f>Deflators!W72</f>
        <v>1.2097758632810751</v>
      </c>
      <c r="X13" s="291">
        <f>Deflators!X72</f>
        <v>1.2147338005500146</v>
      </c>
      <c r="Y13" s="291">
        <f>Deflators!Y72</f>
        <v>1.2250061487428185</v>
      </c>
      <c r="Z13" s="291">
        <f>Deflators!Z72</f>
        <v>1.2326880562148892</v>
      </c>
      <c r="AA13" s="291">
        <f>Deflators!AA72</f>
        <v>1.2372845576913525</v>
      </c>
      <c r="AB13" s="291">
        <f>Deflators!AB72</f>
        <v>1.2447937543552396</v>
      </c>
      <c r="AC13" s="291">
        <f>Deflators!AC72</f>
        <v>1.2519082564303945</v>
      </c>
      <c r="AD13" s="291">
        <f>Deflators!AD72</f>
        <v>1.2585786405872741</v>
      </c>
      <c r="AE13" s="291">
        <f>Deflators!AE72</f>
        <v>1.2654057203904239</v>
      </c>
      <c r="AF13" s="291">
        <f>Deflators!AF72</f>
        <v>1.27231230577623</v>
      </c>
      <c r="AG13" s="291">
        <f>Deflators!AG72</f>
        <v>1.2790868658623309</v>
      </c>
      <c r="AH13" s="756">
        <f>Deflators!AH72</f>
        <v>1.2855539483713756</v>
      </c>
      <c r="AI13" s="756">
        <f>Deflators!AI72</f>
        <v>1.292033226806468</v>
      </c>
      <c r="AJ13" s="756">
        <f>Deflators!AJ72</f>
        <v>1.2985763342395193</v>
      </c>
      <c r="AK13" s="756">
        <f>Deflators!AK72</f>
        <v>1.3051101996236651</v>
      </c>
      <c r="AL13" s="756">
        <f>Deflators!AL72</f>
        <v>1.3116458212540378</v>
      </c>
      <c r="AM13" s="756">
        <f>Deflators!AM72</f>
        <v>1.3181836945304437</v>
      </c>
      <c r="AN13" s="756">
        <f>Deflators!AN72</f>
        <v>1.3247463561647055</v>
      </c>
    </row>
    <row r="14" spans="2:40" x14ac:dyDescent="0.35">
      <c r="B14" s="755"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3">
        <f t="shared" si="0"/>
        <v>155.20684462483894</v>
      </c>
      <c r="AI14" s="513">
        <f t="shared" si="0"/>
        <v>162.82034425593883</v>
      </c>
      <c r="AJ14" s="513">
        <f>AJ12*AJ13</f>
        <v>160.44502735686868</v>
      </c>
      <c r="AK14" s="513">
        <f t="shared" ref="AK14:AN14" si="1">AK12*AK13</f>
        <v>146.43535339516106</v>
      </c>
      <c r="AL14" s="513">
        <f t="shared" si="1"/>
        <v>123.27491260136317</v>
      </c>
      <c r="AM14" s="513">
        <f t="shared" si="1"/>
        <v>96.155204994043586</v>
      </c>
      <c r="AN14" s="513">
        <f t="shared" si="1"/>
        <v>62.335809451985973</v>
      </c>
    </row>
    <row r="15" spans="2:40" x14ac:dyDescent="0.35">
      <c r="S15" s="149"/>
      <c r="T15" s="149"/>
      <c r="U15" s="149"/>
      <c r="V15" s="149"/>
      <c r="W15" s="149"/>
      <c r="X15" s="149"/>
      <c r="Y15" s="149"/>
      <c r="Z15" s="149"/>
      <c r="AA15" s="149"/>
      <c r="AB15" s="149"/>
      <c r="AC15" s="149"/>
      <c r="AD15" s="149"/>
      <c r="AE15" s="149"/>
      <c r="AF15" s="149"/>
      <c r="AG15" s="149"/>
      <c r="AH15" s="149"/>
      <c r="AI15" s="149"/>
      <c r="AJ15" s="149"/>
      <c r="AK15" s="149"/>
      <c r="AL15" s="149"/>
      <c r="AM15" s="149"/>
      <c r="AN15" s="149"/>
    </row>
    <row r="16" spans="2:40" x14ac:dyDescent="0.35">
      <c r="S16" s="149">
        <v>4.0506371546650453</v>
      </c>
      <c r="T16" s="149">
        <v>6.7510619244417409</v>
      </c>
      <c r="U16" s="149">
        <v>25.428999915397224</v>
      </c>
      <c r="V16" s="149">
        <v>38.481052969317929</v>
      </c>
      <c r="W16" s="149">
        <v>51.308070625757232</v>
      </c>
      <c r="X16" s="149">
        <v>56.236345830599703</v>
      </c>
      <c r="Y16" s="149">
        <v>63.685017487233758</v>
      </c>
      <c r="Z16" s="149">
        <v>69.310902424268548</v>
      </c>
      <c r="AA16" s="149">
        <v>64.357873325703125</v>
      </c>
      <c r="AB16" s="149">
        <v>57.18149450002155</v>
      </c>
      <c r="AC16" s="149">
        <v>59.094295378613374</v>
      </c>
      <c r="AD16" s="149">
        <v>70.233547553942245</v>
      </c>
      <c r="AE16" s="149">
        <v>81.462813888263668</v>
      </c>
      <c r="AF16" s="149">
        <v>86.188557235372897</v>
      </c>
      <c r="AG16" s="149">
        <v>105.31656602129117</v>
      </c>
      <c r="AH16" s="149">
        <v>120.73149074876648</v>
      </c>
      <c r="AI16" s="149">
        <v>126.01869741259176</v>
      </c>
      <c r="AJ16" s="149">
        <v>123.55455981017052</v>
      </c>
      <c r="AK16" s="149">
        <v>112.20152400723433</v>
      </c>
      <c r="AL16" s="149">
        <v>93.984908581115704</v>
      </c>
      <c r="AM16" s="149">
        <v>72.945224093593026</v>
      </c>
      <c r="AN16" s="149">
        <v>47.054901613358936</v>
      </c>
    </row>
    <row r="18" spans="2:40" x14ac:dyDescent="0.35">
      <c r="P18" t="s">
        <v>1951</v>
      </c>
      <c r="S18" s="755">
        <v>9.676624590017175</v>
      </c>
      <c r="T18" s="755">
        <v>9.6670597070816413</v>
      </c>
      <c r="U18" s="755">
        <v>29.968874069165178</v>
      </c>
      <c r="V18" s="755">
        <v>48.407564583050345</v>
      </c>
      <c r="W18" s="755">
        <v>68.860864510897471</v>
      </c>
      <c r="X18" s="755">
        <v>88.107434654608909</v>
      </c>
      <c r="Y18" s="755">
        <v>101.08174054588757</v>
      </c>
      <c r="Z18" s="755">
        <v>103.56513754278419</v>
      </c>
      <c r="AA18" s="755">
        <v>106.00637033635157</v>
      </c>
      <c r="AB18" s="755">
        <v>108.38917414017335</v>
      </c>
      <c r="AC18" s="755">
        <v>110.69246087615031</v>
      </c>
      <c r="AD18" s="755">
        <v>112.950351679587</v>
      </c>
      <c r="AE18" s="755">
        <v>115.16440141682602</v>
      </c>
      <c r="AF18" s="755">
        <v>117.3462460140392</v>
      </c>
      <c r="AG18" s="755">
        <v>118.525001293339</v>
      </c>
      <c r="AH18" s="513">
        <f>AG18</f>
        <v>118.525001293339</v>
      </c>
      <c r="AI18" s="513">
        <f t="shared" ref="AI18:AN18" si="2">AH18</f>
        <v>118.525001293339</v>
      </c>
      <c r="AJ18" s="513">
        <f t="shared" si="2"/>
        <v>118.525001293339</v>
      </c>
      <c r="AK18" s="513">
        <f t="shared" si="2"/>
        <v>118.525001293339</v>
      </c>
      <c r="AL18" s="513">
        <f t="shared" si="2"/>
        <v>118.525001293339</v>
      </c>
      <c r="AM18" s="513">
        <f t="shared" si="2"/>
        <v>118.525001293339</v>
      </c>
      <c r="AN18" s="513">
        <f t="shared" si="2"/>
        <v>118.525001293339</v>
      </c>
    </row>
    <row r="19" spans="2:40" x14ac:dyDescent="0.35">
      <c r="S19" s="149"/>
    </row>
    <row r="20" spans="2:40" x14ac:dyDescent="0.35">
      <c r="S20" s="149"/>
    </row>
    <row r="21" spans="2:40" x14ac:dyDescent="0.35">
      <c r="S21" s="149"/>
    </row>
    <row r="22" spans="2:40" x14ac:dyDescent="0.35">
      <c r="S22" s="149"/>
    </row>
    <row r="23" spans="2:40" x14ac:dyDescent="0.35">
      <c r="B23" s="210"/>
      <c r="C23" s="210"/>
      <c r="D23" s="210"/>
      <c r="E23" s="210"/>
      <c r="H23" s="210"/>
      <c r="I23" s="210"/>
      <c r="J23" s="210"/>
      <c r="K23" t="s">
        <v>1930</v>
      </c>
      <c r="S23" s="149"/>
    </row>
    <row r="24" spans="2:40" ht="29.15" customHeight="1" x14ac:dyDescent="0.35">
      <c r="B24" s="210"/>
      <c r="C24" s="708" t="s">
        <v>1931</v>
      </c>
      <c r="D24" s="210"/>
      <c r="E24" s="210"/>
      <c r="H24" s="210"/>
      <c r="I24" s="210"/>
      <c r="J24" s="210"/>
      <c r="K24" t="s">
        <v>1932</v>
      </c>
      <c r="S24" s="149"/>
    </row>
    <row r="25" spans="2:40" ht="29.15" customHeight="1" x14ac:dyDescent="0.35">
      <c r="B25" s="210"/>
      <c r="C25" s="708" t="s">
        <v>1933</v>
      </c>
      <c r="D25" s="1405" t="s">
        <v>1934</v>
      </c>
      <c r="E25" s="1405"/>
      <c r="F25" s="1405"/>
      <c r="G25" s="210"/>
      <c r="H25" s="210"/>
      <c r="I25" s="210"/>
      <c r="J25" s="210"/>
      <c r="S25" s="149"/>
    </row>
    <row r="26" spans="2:40" ht="72.650000000000006" customHeight="1" x14ac:dyDescent="0.35">
      <c r="B26" s="748">
        <v>44774</v>
      </c>
      <c r="C26" s="210">
        <v>9</v>
      </c>
      <c r="D26" s="210"/>
      <c r="E26" s="210"/>
      <c r="H26" s="210"/>
      <c r="I26" s="210"/>
      <c r="J26" s="708" t="s">
        <v>1935</v>
      </c>
      <c r="K26" s="14" t="s">
        <v>1936</v>
      </c>
      <c r="L26" s="14" t="s">
        <v>1937</v>
      </c>
      <c r="M26" s="14" t="s">
        <v>1938</v>
      </c>
      <c r="N26" s="708" t="s">
        <v>1939</v>
      </c>
      <c r="S26" s="149"/>
    </row>
    <row r="27" spans="2:40" x14ac:dyDescent="0.35">
      <c r="B27" s="748">
        <f>B26+31</f>
        <v>44805</v>
      </c>
      <c r="C27" s="210">
        <v>9</v>
      </c>
      <c r="D27" s="210">
        <v>2022</v>
      </c>
      <c r="E27" s="210" t="s">
        <v>330</v>
      </c>
      <c r="F27">
        <f>SUM(C26:C27)/3</f>
        <v>6</v>
      </c>
      <c r="H27" s="210">
        <v>2022</v>
      </c>
      <c r="I27" s="210" t="s">
        <v>330</v>
      </c>
      <c r="J27" s="149">
        <v>6</v>
      </c>
      <c r="K27" s="149"/>
      <c r="L27" s="149"/>
      <c r="M27" s="149">
        <f>K27+J27</f>
        <v>6</v>
      </c>
      <c r="N27" s="149">
        <f>M27*F$81</f>
        <v>4.0506371546650453</v>
      </c>
      <c r="S27" s="149"/>
    </row>
    <row r="28" spans="2:40" x14ac:dyDescent="0.35">
      <c r="B28" s="748">
        <f t="shared" ref="B28:B57" si="3">B27+31</f>
        <v>44836</v>
      </c>
      <c r="C28" s="210">
        <v>10</v>
      </c>
      <c r="D28" s="210"/>
      <c r="E28" s="210"/>
      <c r="H28" s="210">
        <v>2022</v>
      </c>
      <c r="I28" s="210" t="s">
        <v>774</v>
      </c>
      <c r="J28" s="149">
        <v>10</v>
      </c>
      <c r="K28" s="149"/>
      <c r="L28" s="149"/>
      <c r="M28" s="149">
        <f t="shared" ref="M28:M48" si="4">K28+J28</f>
        <v>10</v>
      </c>
      <c r="N28" s="149">
        <f t="shared" ref="N28:N48" si="5">M28*F$81</f>
        <v>6.7510619244417409</v>
      </c>
      <c r="S28" s="149"/>
    </row>
    <row r="29" spans="2:40" x14ac:dyDescent="0.35">
      <c r="B29" s="748">
        <f t="shared" si="3"/>
        <v>44867</v>
      </c>
      <c r="C29" s="210">
        <v>10</v>
      </c>
      <c r="D29" s="210"/>
      <c r="E29" s="210"/>
      <c r="H29" s="210">
        <v>2023</v>
      </c>
      <c r="I29" s="210" t="s">
        <v>240</v>
      </c>
      <c r="J29" s="149">
        <v>37.666666666666664</v>
      </c>
      <c r="K29" s="149"/>
      <c r="L29" s="149"/>
      <c r="M29" s="149">
        <f t="shared" si="4"/>
        <v>37.666666666666664</v>
      </c>
      <c r="N29" s="149">
        <f t="shared" si="5"/>
        <v>25.428999915397224</v>
      </c>
      <c r="S29" s="149"/>
    </row>
    <row r="30" spans="2:40" x14ac:dyDescent="0.35">
      <c r="B30" s="748">
        <f t="shared" si="3"/>
        <v>44898</v>
      </c>
      <c r="C30" s="210">
        <v>10</v>
      </c>
      <c r="D30" s="210">
        <v>2022</v>
      </c>
      <c r="E30" s="210" t="s">
        <v>774</v>
      </c>
      <c r="F30">
        <f>AVERAGE(C28:C30)</f>
        <v>10</v>
      </c>
      <c r="H30" s="210">
        <v>2023</v>
      </c>
      <c r="I30" s="210" t="s">
        <v>241</v>
      </c>
      <c r="J30" s="149">
        <v>57</v>
      </c>
      <c r="K30" s="149"/>
      <c r="L30" s="149"/>
      <c r="M30" s="149">
        <f t="shared" si="4"/>
        <v>57</v>
      </c>
      <c r="N30" s="149">
        <f t="shared" si="5"/>
        <v>38.481052969317929</v>
      </c>
      <c r="S30" s="149"/>
    </row>
    <row r="31" spans="2:40" x14ac:dyDescent="0.35">
      <c r="B31" s="748">
        <f t="shared" si="3"/>
        <v>44929</v>
      </c>
      <c r="C31" s="210">
        <v>34</v>
      </c>
      <c r="D31" s="210"/>
      <c r="E31" s="210"/>
      <c r="H31" s="210">
        <v>2023</v>
      </c>
      <c r="I31" s="210" t="s">
        <v>330</v>
      </c>
      <c r="J31" s="149">
        <v>76.666666666666671</v>
      </c>
      <c r="K31" s="149"/>
      <c r="L31" s="149"/>
      <c r="M31" s="149">
        <v>76</v>
      </c>
      <c r="N31" s="149">
        <f t="shared" si="5"/>
        <v>51.308070625757232</v>
      </c>
      <c r="S31" s="149"/>
    </row>
    <row r="32" spans="2:40" x14ac:dyDescent="0.35">
      <c r="B32" s="748">
        <f t="shared" si="3"/>
        <v>44960</v>
      </c>
      <c r="C32" s="210">
        <v>35</v>
      </c>
      <c r="D32" s="210"/>
      <c r="E32" s="210"/>
      <c r="H32" s="210">
        <v>2023</v>
      </c>
      <c r="I32" s="210" t="s">
        <v>774</v>
      </c>
      <c r="J32" s="149">
        <v>84</v>
      </c>
      <c r="K32" s="149"/>
      <c r="L32" s="149"/>
      <c r="M32" s="149">
        <v>83.3</v>
      </c>
      <c r="N32" s="149">
        <f t="shared" si="5"/>
        <v>56.236345830599703</v>
      </c>
      <c r="S32" s="149"/>
    </row>
    <row r="33" spans="2:19" x14ac:dyDescent="0.35">
      <c r="B33" s="748">
        <f t="shared" si="3"/>
        <v>44991</v>
      </c>
      <c r="C33" s="210">
        <v>44</v>
      </c>
      <c r="D33" s="210">
        <v>2023</v>
      </c>
      <c r="E33" s="210" t="s">
        <v>240</v>
      </c>
      <c r="F33">
        <f>AVERAGE(C31:C33)</f>
        <v>37.666666666666664</v>
      </c>
      <c r="H33" s="210">
        <v>2024</v>
      </c>
      <c r="I33" s="210" t="s">
        <v>240</v>
      </c>
      <c r="J33" s="149">
        <v>94.333333333333329</v>
      </c>
      <c r="K33" s="149"/>
      <c r="L33" s="149"/>
      <c r="M33" s="149">
        <f t="shared" si="4"/>
        <v>94.333333333333329</v>
      </c>
      <c r="N33" s="149">
        <f t="shared" si="5"/>
        <v>63.685017487233758</v>
      </c>
      <c r="O33" t="s">
        <v>1950</v>
      </c>
      <c r="S33" s="149"/>
    </row>
    <row r="34" spans="2:19" x14ac:dyDescent="0.35">
      <c r="B34" s="748">
        <f t="shared" si="3"/>
        <v>45022</v>
      </c>
      <c r="C34" s="210">
        <v>49</v>
      </c>
      <c r="D34" s="210"/>
      <c r="E34" s="210"/>
      <c r="H34" s="210">
        <v>2024</v>
      </c>
      <c r="I34" s="210" t="s">
        <v>241</v>
      </c>
      <c r="J34" s="149">
        <v>102.66666666666667</v>
      </c>
      <c r="K34" s="149"/>
      <c r="L34" s="149"/>
      <c r="M34" s="149">
        <f t="shared" si="4"/>
        <v>102.66666666666667</v>
      </c>
      <c r="N34" s="149">
        <f t="shared" si="5"/>
        <v>69.310902424268548</v>
      </c>
      <c r="S34" s="149"/>
    </row>
    <row r="35" spans="2:19" x14ac:dyDescent="0.35">
      <c r="B35" s="748">
        <f t="shared" si="3"/>
        <v>45053</v>
      </c>
      <c r="C35" s="210">
        <v>58</v>
      </c>
      <c r="D35" s="210"/>
      <c r="E35" s="210"/>
      <c r="H35" s="210">
        <v>2024</v>
      </c>
      <c r="I35" s="210" t="s">
        <v>330</v>
      </c>
      <c r="J35" s="149">
        <v>92.33</v>
      </c>
      <c r="K35" s="149">
        <f>(+J27)*0.5</f>
        <v>3</v>
      </c>
      <c r="L35" s="149">
        <f>K35</f>
        <v>3</v>
      </c>
      <c r="M35" s="149">
        <f t="shared" si="4"/>
        <v>95.33</v>
      </c>
      <c r="N35" s="149">
        <f t="shared" si="5"/>
        <v>64.357873325703125</v>
      </c>
      <c r="S35" s="149"/>
    </row>
    <row r="36" spans="2:19" x14ac:dyDescent="0.35">
      <c r="B36" s="748">
        <f t="shared" si="3"/>
        <v>45084</v>
      </c>
      <c r="C36" s="210">
        <v>64</v>
      </c>
      <c r="D36" s="210">
        <v>2023</v>
      </c>
      <c r="E36" s="210" t="s">
        <v>241</v>
      </c>
      <c r="F36">
        <f>AVERAGE(C34:C36)</f>
        <v>57</v>
      </c>
      <c r="H36" s="210">
        <v>2024</v>
      </c>
      <c r="I36" s="210" t="s">
        <v>774</v>
      </c>
      <c r="J36" s="149">
        <v>76.7</v>
      </c>
      <c r="K36" s="149">
        <f>(J27+J28)*0.5</f>
        <v>8</v>
      </c>
      <c r="L36" s="149">
        <f>K36</f>
        <v>8</v>
      </c>
      <c r="M36" s="149">
        <f t="shared" si="4"/>
        <v>84.7</v>
      </c>
      <c r="N36" s="149">
        <f t="shared" si="5"/>
        <v>57.18149450002155</v>
      </c>
      <c r="S36" s="149"/>
    </row>
    <row r="37" spans="2:19" x14ac:dyDescent="0.35">
      <c r="B37" s="748">
        <f t="shared" si="3"/>
        <v>45115</v>
      </c>
      <c r="C37" s="210">
        <v>72</v>
      </c>
      <c r="D37" s="210"/>
      <c r="E37" s="210"/>
      <c r="H37" s="210">
        <v>2025</v>
      </c>
      <c r="I37" s="210" t="s">
        <v>240</v>
      </c>
      <c r="J37" s="149">
        <v>60.7</v>
      </c>
      <c r="K37" s="149">
        <f>(J27+J28+J29)*0.5</f>
        <v>26.833333333333332</v>
      </c>
      <c r="L37" s="149">
        <f>K37-10</f>
        <v>16.833333333333332</v>
      </c>
      <c r="M37" s="149">
        <f t="shared" si="4"/>
        <v>87.533333333333331</v>
      </c>
      <c r="N37" s="149">
        <f t="shared" si="5"/>
        <v>59.094295378613374</v>
      </c>
    </row>
    <row r="38" spans="2:19" x14ac:dyDescent="0.35">
      <c r="B38" s="748">
        <f t="shared" si="3"/>
        <v>45146</v>
      </c>
      <c r="C38" s="210">
        <v>76</v>
      </c>
      <c r="D38" s="210"/>
      <c r="E38" s="210"/>
      <c r="H38" s="210">
        <v>2025</v>
      </c>
      <c r="I38" s="210" t="s">
        <v>241</v>
      </c>
      <c r="J38" s="149">
        <v>48.7</v>
      </c>
      <c r="K38" s="149">
        <f t="shared" ref="K38:K50" si="6">(J27+J28+J29+J30)*0.5</f>
        <v>55.333333333333329</v>
      </c>
      <c r="L38" s="149">
        <f>K38-15</f>
        <v>40.333333333333329</v>
      </c>
      <c r="M38" s="149">
        <f t="shared" si="4"/>
        <v>104.03333333333333</v>
      </c>
      <c r="N38" s="149">
        <f t="shared" si="5"/>
        <v>70.233547553942245</v>
      </c>
    </row>
    <row r="39" spans="2:19" x14ac:dyDescent="0.35">
      <c r="B39" s="748">
        <f t="shared" si="3"/>
        <v>45177</v>
      </c>
      <c r="C39" s="210">
        <v>80</v>
      </c>
      <c r="D39" s="210">
        <v>2023</v>
      </c>
      <c r="E39" s="210" t="s">
        <v>330</v>
      </c>
      <c r="F39">
        <f>AVERAGE(C37:C39)</f>
        <v>76</v>
      </c>
      <c r="H39" s="210">
        <v>2025</v>
      </c>
      <c r="I39" s="210" t="s">
        <v>330</v>
      </c>
      <c r="J39" s="149">
        <v>30</v>
      </c>
      <c r="K39" s="149">
        <f t="shared" si="6"/>
        <v>90.666666666666657</v>
      </c>
      <c r="L39" s="149">
        <f>K39</f>
        <v>90.666666666666657</v>
      </c>
      <c r="M39" s="149">
        <f t="shared" si="4"/>
        <v>120.66666666666666</v>
      </c>
      <c r="N39" s="149">
        <f t="shared" si="5"/>
        <v>81.462813888263668</v>
      </c>
    </row>
    <row r="40" spans="2:19" x14ac:dyDescent="0.35">
      <c r="B40" s="748">
        <f t="shared" si="3"/>
        <v>45208</v>
      </c>
      <c r="C40" s="210">
        <v>82</v>
      </c>
      <c r="D40" s="210"/>
      <c r="E40" s="210"/>
      <c r="H40" s="210">
        <v>2025</v>
      </c>
      <c r="I40" s="210" t="s">
        <v>774</v>
      </c>
      <c r="J40" s="149">
        <v>0</v>
      </c>
      <c r="K40" s="149">
        <f t="shared" si="6"/>
        <v>127.66666666666666</v>
      </c>
      <c r="L40" s="149">
        <f>K40+15</f>
        <v>142.66666666666666</v>
      </c>
      <c r="M40" s="149">
        <f t="shared" si="4"/>
        <v>127.66666666666666</v>
      </c>
      <c r="N40" s="149">
        <f t="shared" si="5"/>
        <v>86.188557235372897</v>
      </c>
    </row>
    <row r="41" spans="2:19" x14ac:dyDescent="0.35">
      <c r="B41" s="748">
        <f t="shared" si="3"/>
        <v>45239</v>
      </c>
      <c r="C41" s="210">
        <v>82</v>
      </c>
      <c r="D41" s="210"/>
      <c r="E41" s="210"/>
      <c r="H41" s="210">
        <v>2026</v>
      </c>
      <c r="I41" s="210" t="s">
        <v>240</v>
      </c>
      <c r="J41" s="149">
        <v>0</v>
      </c>
      <c r="K41" s="149">
        <f t="shared" si="6"/>
        <v>156</v>
      </c>
      <c r="L41" s="149">
        <f>K41+10</f>
        <v>166</v>
      </c>
      <c r="M41" s="149">
        <f t="shared" si="4"/>
        <v>156</v>
      </c>
      <c r="N41" s="149">
        <f t="shared" si="5"/>
        <v>105.31656602129117</v>
      </c>
    </row>
    <row r="42" spans="2:19" x14ac:dyDescent="0.35">
      <c r="B42" s="748">
        <f t="shared" si="3"/>
        <v>45270</v>
      </c>
      <c r="C42" s="210">
        <v>86</v>
      </c>
      <c r="D42" s="210">
        <v>2023</v>
      </c>
      <c r="E42" s="210" t="s">
        <v>774</v>
      </c>
      <c r="F42">
        <f>AVERAGE(C40:C42)</f>
        <v>83.333333333333329</v>
      </c>
      <c r="H42" s="210">
        <v>2027</v>
      </c>
      <c r="I42" s="210" t="s">
        <v>241</v>
      </c>
      <c r="J42" s="149">
        <v>0</v>
      </c>
      <c r="K42" s="149">
        <f t="shared" si="6"/>
        <v>178.83333333333334</v>
      </c>
      <c r="L42" s="149">
        <f>K42</f>
        <v>178.83333333333334</v>
      </c>
      <c r="M42" s="149">
        <f t="shared" si="4"/>
        <v>178.83333333333334</v>
      </c>
      <c r="N42" s="149">
        <f t="shared" si="5"/>
        <v>120.73149074876648</v>
      </c>
    </row>
    <row r="43" spans="2:19" x14ac:dyDescent="0.35">
      <c r="B43" s="748">
        <f t="shared" si="3"/>
        <v>45301</v>
      </c>
      <c r="C43" s="210">
        <v>90</v>
      </c>
      <c r="D43" s="210"/>
      <c r="E43" s="210"/>
      <c r="H43" s="210">
        <v>2027</v>
      </c>
      <c r="I43" s="210" t="s">
        <v>330</v>
      </c>
      <c r="J43" s="149"/>
      <c r="K43" s="149">
        <f t="shared" si="6"/>
        <v>186.66499999999999</v>
      </c>
      <c r="L43" s="149">
        <f t="shared" ref="L43:L51" si="7">K43</f>
        <v>186.66499999999999</v>
      </c>
      <c r="M43" s="149">
        <f t="shared" si="4"/>
        <v>186.66499999999999</v>
      </c>
      <c r="N43" s="149">
        <f t="shared" si="5"/>
        <v>126.01869741259176</v>
      </c>
    </row>
    <row r="44" spans="2:19" x14ac:dyDescent="0.35">
      <c r="B44" s="748">
        <f t="shared" si="3"/>
        <v>45332</v>
      </c>
      <c r="C44" s="210">
        <v>95</v>
      </c>
      <c r="D44" s="210"/>
      <c r="E44" s="210"/>
      <c r="H44" s="210">
        <v>2027</v>
      </c>
      <c r="I44" s="210" t="s">
        <v>774</v>
      </c>
      <c r="J44" s="149"/>
      <c r="K44" s="149">
        <f t="shared" si="6"/>
        <v>183.01499999999999</v>
      </c>
      <c r="L44" s="149">
        <f t="shared" si="7"/>
        <v>183.01499999999999</v>
      </c>
      <c r="M44" s="149">
        <f t="shared" si="4"/>
        <v>183.01499999999999</v>
      </c>
      <c r="N44" s="149">
        <f t="shared" si="5"/>
        <v>123.55455981017052</v>
      </c>
    </row>
    <row r="45" spans="2:19" x14ac:dyDescent="0.35">
      <c r="B45" s="748">
        <f t="shared" si="3"/>
        <v>45363</v>
      </c>
      <c r="C45" s="210">
        <v>98</v>
      </c>
      <c r="D45" s="210">
        <v>2024</v>
      </c>
      <c r="E45" s="210" t="s">
        <v>240</v>
      </c>
      <c r="F45">
        <f>AVERAGE(C43:C45)</f>
        <v>94.333333333333329</v>
      </c>
      <c r="H45" s="210">
        <v>2028</v>
      </c>
      <c r="I45" s="210" t="s">
        <v>240</v>
      </c>
      <c r="J45" s="149"/>
      <c r="K45" s="149">
        <f t="shared" si="6"/>
        <v>166.19833333333332</v>
      </c>
      <c r="L45" s="149">
        <f t="shared" si="7"/>
        <v>166.19833333333332</v>
      </c>
      <c r="M45" s="149">
        <f t="shared" si="4"/>
        <v>166.19833333333332</v>
      </c>
      <c r="N45" s="149">
        <f t="shared" si="5"/>
        <v>112.20152400723433</v>
      </c>
    </row>
    <row r="46" spans="2:19" x14ac:dyDescent="0.35">
      <c r="B46" s="748">
        <f t="shared" si="3"/>
        <v>45394</v>
      </c>
      <c r="C46" s="210">
        <v>98</v>
      </c>
      <c r="D46" s="210"/>
      <c r="E46" s="210"/>
      <c r="H46" s="210">
        <v>2028</v>
      </c>
      <c r="I46" s="210" t="s">
        <v>241</v>
      </c>
      <c r="J46" s="149"/>
      <c r="K46" s="149">
        <f t="shared" si="6"/>
        <v>139.215</v>
      </c>
      <c r="L46" s="149">
        <f t="shared" si="7"/>
        <v>139.215</v>
      </c>
      <c r="M46" s="149">
        <f t="shared" si="4"/>
        <v>139.215</v>
      </c>
      <c r="N46" s="149">
        <f t="shared" si="5"/>
        <v>93.984908581115704</v>
      </c>
    </row>
    <row r="47" spans="2:19" x14ac:dyDescent="0.35">
      <c r="B47" s="748">
        <f t="shared" si="3"/>
        <v>45425</v>
      </c>
      <c r="C47" s="210">
        <v>104</v>
      </c>
      <c r="D47" s="210"/>
      <c r="E47" s="210"/>
      <c r="H47" s="210">
        <v>2028</v>
      </c>
      <c r="I47" s="210" t="s">
        <v>330</v>
      </c>
      <c r="J47" s="149"/>
      <c r="K47" s="149">
        <f t="shared" si="6"/>
        <v>108.05000000000001</v>
      </c>
      <c r="L47" s="149">
        <f t="shared" si="7"/>
        <v>108.05000000000001</v>
      </c>
      <c r="M47" s="149">
        <f t="shared" si="4"/>
        <v>108.05000000000001</v>
      </c>
      <c r="N47" s="149">
        <f t="shared" si="5"/>
        <v>72.945224093593026</v>
      </c>
    </row>
    <row r="48" spans="2:19" x14ac:dyDescent="0.35">
      <c r="B48" s="748">
        <f t="shared" si="3"/>
        <v>45456</v>
      </c>
      <c r="C48" s="210">
        <v>106</v>
      </c>
      <c r="D48" s="210">
        <v>2024</v>
      </c>
      <c r="E48" s="210" t="s">
        <v>241</v>
      </c>
      <c r="F48">
        <f>AVERAGE(C46:C48)</f>
        <v>102.66666666666667</v>
      </c>
      <c r="H48" s="210">
        <v>2028</v>
      </c>
      <c r="I48" s="210" t="s">
        <v>774</v>
      </c>
      <c r="J48" s="149"/>
      <c r="K48" s="149">
        <f t="shared" si="6"/>
        <v>69.7</v>
      </c>
      <c r="L48" s="149">
        <f t="shared" si="7"/>
        <v>69.7</v>
      </c>
      <c r="M48" s="149">
        <f t="shared" si="4"/>
        <v>69.7</v>
      </c>
      <c r="N48" s="149">
        <f t="shared" si="5"/>
        <v>47.054901613358936</v>
      </c>
    </row>
    <row r="49" spans="2:14" x14ac:dyDescent="0.35">
      <c r="B49" s="748">
        <f t="shared" si="3"/>
        <v>45487</v>
      </c>
      <c r="C49" s="210">
        <v>96</v>
      </c>
      <c r="D49" s="210"/>
      <c r="E49" s="210"/>
      <c r="H49" s="210" t="s">
        <v>322</v>
      </c>
      <c r="I49" s="210" t="s">
        <v>322</v>
      </c>
      <c r="J49" s="210"/>
      <c r="K49" s="149">
        <f t="shared" si="6"/>
        <v>39.35</v>
      </c>
      <c r="L49" s="149">
        <f t="shared" si="7"/>
        <v>39.35</v>
      </c>
      <c r="M49" s="149"/>
      <c r="N49" s="149"/>
    </row>
    <row r="50" spans="2:14" x14ac:dyDescent="0.35">
      <c r="B50" s="748">
        <f t="shared" si="3"/>
        <v>45518</v>
      </c>
      <c r="C50" s="210">
        <v>93</v>
      </c>
      <c r="D50" s="210"/>
      <c r="E50" s="210"/>
      <c r="H50" s="210" t="s">
        <v>322</v>
      </c>
      <c r="I50" s="210" t="s">
        <v>322</v>
      </c>
      <c r="J50" s="210"/>
      <c r="K50" s="149">
        <f t="shared" si="6"/>
        <v>15</v>
      </c>
      <c r="L50" s="149">
        <f t="shared" si="7"/>
        <v>15</v>
      </c>
      <c r="M50" s="149"/>
      <c r="N50" s="149"/>
    </row>
    <row r="51" spans="2:14" x14ac:dyDescent="0.35">
      <c r="B51" s="748">
        <f t="shared" si="3"/>
        <v>45549</v>
      </c>
      <c r="C51" s="210">
        <v>88</v>
      </c>
      <c r="D51" s="210">
        <v>2024</v>
      </c>
      <c r="E51" s="210" t="s">
        <v>330</v>
      </c>
      <c r="F51">
        <f>AVERAGE(C49:C51)</f>
        <v>92.333333333333329</v>
      </c>
      <c r="H51" s="210" t="s">
        <v>322</v>
      </c>
      <c r="I51" s="210" t="s">
        <v>322</v>
      </c>
      <c r="J51" s="210"/>
      <c r="K51" s="149">
        <f t="shared" ref="K51" si="8">J41+J42+J43</f>
        <v>0</v>
      </c>
      <c r="L51" s="149">
        <f t="shared" si="7"/>
        <v>0</v>
      </c>
      <c r="M51" s="149"/>
      <c r="N51" s="149"/>
    </row>
    <row r="52" spans="2:14" x14ac:dyDescent="0.35">
      <c r="B52" s="748">
        <f t="shared" si="3"/>
        <v>45580</v>
      </c>
      <c r="C52" s="210">
        <v>80</v>
      </c>
      <c r="D52" s="210"/>
      <c r="E52" s="210"/>
      <c r="H52" s="210" t="s">
        <v>322</v>
      </c>
      <c r="I52" s="210" t="s">
        <v>322</v>
      </c>
      <c r="J52" s="210">
        <f>SUM(J27:J51)</f>
        <v>776.76333333333343</v>
      </c>
      <c r="K52">
        <f>SUM(K27:K51)</f>
        <v>1553.5266666666664</v>
      </c>
      <c r="L52">
        <f>SUM(L27:L51)</f>
        <v>1553.5266666666664</v>
      </c>
    </row>
    <row r="53" spans="2:14" x14ac:dyDescent="0.35">
      <c r="B53" s="748">
        <f t="shared" si="3"/>
        <v>45611</v>
      </c>
      <c r="C53" s="210">
        <v>76</v>
      </c>
      <c r="D53" s="210"/>
      <c r="E53" s="210"/>
      <c r="H53" s="210"/>
      <c r="I53" s="210"/>
      <c r="J53" s="210"/>
    </row>
    <row r="54" spans="2:14" x14ac:dyDescent="0.35">
      <c r="B54" s="748">
        <f t="shared" si="3"/>
        <v>45642</v>
      </c>
      <c r="C54" s="210">
        <v>74</v>
      </c>
      <c r="D54" s="210">
        <v>2024</v>
      </c>
      <c r="E54" s="210" t="s">
        <v>774</v>
      </c>
      <c r="F54">
        <f>AVERAGE(C52:C54)</f>
        <v>76.666666666666671</v>
      </c>
      <c r="H54" s="210"/>
      <c r="I54" s="210"/>
      <c r="J54" s="210"/>
    </row>
    <row r="55" spans="2:14" x14ac:dyDescent="0.35">
      <c r="B55" s="748">
        <f t="shared" si="3"/>
        <v>45673</v>
      </c>
      <c r="C55" s="210">
        <v>66</v>
      </c>
      <c r="D55" s="210"/>
      <c r="E55" s="210"/>
      <c r="H55" s="210"/>
      <c r="I55" s="210"/>
      <c r="J55" s="210"/>
    </row>
    <row r="56" spans="2:14" x14ac:dyDescent="0.35">
      <c r="B56" s="748">
        <f t="shared" si="3"/>
        <v>45704</v>
      </c>
      <c r="C56" s="210">
        <v>58</v>
      </c>
      <c r="D56" s="210"/>
      <c r="E56" s="210"/>
      <c r="H56" s="210"/>
      <c r="I56" s="210"/>
      <c r="J56" s="210"/>
    </row>
    <row r="57" spans="2:14" x14ac:dyDescent="0.35">
      <c r="B57" s="748">
        <f t="shared" si="3"/>
        <v>45735</v>
      </c>
      <c r="C57" s="210">
        <v>58</v>
      </c>
      <c r="D57" s="210">
        <v>2025</v>
      </c>
      <c r="E57" s="210" t="s">
        <v>240</v>
      </c>
      <c r="F57">
        <f>AVERAGE(C55:C57)</f>
        <v>60.666666666666664</v>
      </c>
      <c r="H57" s="210"/>
      <c r="I57" s="210"/>
      <c r="J57" s="210"/>
    </row>
    <row r="58" spans="2:14" x14ac:dyDescent="0.35">
      <c r="B58" s="748"/>
      <c r="C58" s="749">
        <v>50</v>
      </c>
      <c r="D58" s="210"/>
      <c r="E58" s="210"/>
      <c r="H58" s="210"/>
      <c r="I58" s="210"/>
      <c r="J58" s="210"/>
    </row>
    <row r="59" spans="2:14" x14ac:dyDescent="0.35">
      <c r="B59" s="748"/>
      <c r="C59" s="749">
        <v>48</v>
      </c>
      <c r="D59" s="210"/>
      <c r="E59" s="210"/>
      <c r="H59" s="210"/>
      <c r="I59" s="210"/>
      <c r="J59" s="210"/>
    </row>
    <row r="60" spans="2:14" x14ac:dyDescent="0.35">
      <c r="B60" s="210"/>
      <c r="C60" s="749">
        <v>48</v>
      </c>
      <c r="D60" s="210">
        <v>2025</v>
      </c>
      <c r="E60" s="210" t="s">
        <v>241</v>
      </c>
      <c r="F60">
        <f>AVERAGE(C58:C60)</f>
        <v>48.666666666666664</v>
      </c>
      <c r="H60" s="210"/>
      <c r="I60" s="210"/>
      <c r="J60" s="210"/>
    </row>
    <row r="61" spans="2:14" x14ac:dyDescent="0.35">
      <c r="B61" s="210"/>
      <c r="C61" s="210">
        <v>40</v>
      </c>
      <c r="D61" s="210"/>
      <c r="E61" s="210"/>
      <c r="H61" s="210"/>
      <c r="I61" s="210"/>
      <c r="J61" s="210"/>
    </row>
    <row r="62" spans="2:14" x14ac:dyDescent="0.35">
      <c r="B62" s="210"/>
      <c r="C62" s="749">
        <v>30</v>
      </c>
      <c r="D62" s="210"/>
      <c r="E62" s="210"/>
      <c r="H62" s="210"/>
      <c r="I62" s="210"/>
      <c r="J62" s="210"/>
    </row>
    <row r="63" spans="2:14" x14ac:dyDescent="0.35">
      <c r="B63" s="210"/>
      <c r="C63" s="749">
        <v>20</v>
      </c>
      <c r="D63" s="210"/>
      <c r="E63" s="210"/>
      <c r="F63">
        <f>AVERAGE(C61:C63)</f>
        <v>30</v>
      </c>
      <c r="H63" s="210"/>
      <c r="I63" s="210"/>
      <c r="J63" s="210"/>
    </row>
    <row r="64" spans="2:14" x14ac:dyDescent="0.35">
      <c r="B64" s="210"/>
      <c r="C64" s="210"/>
      <c r="D64" s="210"/>
      <c r="E64" s="210"/>
      <c r="H64" s="210"/>
      <c r="I64" s="210"/>
      <c r="J64" s="210"/>
    </row>
    <row r="65" spans="2:10" x14ac:dyDescent="0.35">
      <c r="B65" s="210"/>
      <c r="C65" s="708"/>
      <c r="D65" s="750"/>
      <c r="E65" s="708"/>
      <c r="H65" s="210"/>
      <c r="I65" s="210"/>
      <c r="J65" s="210"/>
    </row>
    <row r="66" spans="2:10" x14ac:dyDescent="0.35">
      <c r="B66" s="210"/>
      <c r="C66" s="210"/>
      <c r="D66" s="210"/>
      <c r="E66" s="210"/>
      <c r="F66" t="e">
        <f>AVERAGE(C64:C66)</f>
        <v>#DIV/0!</v>
      </c>
      <c r="H66" s="210"/>
      <c r="I66" s="210"/>
      <c r="J66" s="210"/>
    </row>
    <row r="67" spans="2:10" x14ac:dyDescent="0.35">
      <c r="B67" s="210"/>
      <c r="C67" s="210"/>
      <c r="D67" s="747"/>
      <c r="E67" s="210"/>
      <c r="H67" s="210"/>
      <c r="I67" s="210"/>
      <c r="J67" s="210"/>
    </row>
    <row r="68" spans="2:10" x14ac:dyDescent="0.35">
      <c r="B68" s="210"/>
      <c r="C68" s="210"/>
      <c r="D68" s="747"/>
      <c r="E68" s="747"/>
      <c r="H68" s="210"/>
      <c r="I68" s="210"/>
      <c r="J68" s="210"/>
    </row>
    <row r="69" spans="2:10" x14ac:dyDescent="0.35">
      <c r="B69" s="751"/>
      <c r="C69" s="752"/>
      <c r="D69" s="753"/>
      <c r="E69" s="210"/>
      <c r="H69" s="210"/>
      <c r="I69" s="210"/>
      <c r="J69" s="210"/>
    </row>
    <row r="70" spans="2:10" x14ac:dyDescent="0.35">
      <c r="B70" s="747" t="s">
        <v>1940</v>
      </c>
      <c r="C70" s="747"/>
      <c r="D70" s="753"/>
      <c r="E70" s="210"/>
      <c r="H70" s="210"/>
      <c r="I70" s="210"/>
      <c r="J70" s="210"/>
    </row>
    <row r="71" spans="2:10" x14ac:dyDescent="0.35">
      <c r="B71" s="747" t="s">
        <v>1941</v>
      </c>
      <c r="C71" s="747"/>
      <c r="D71" s="753"/>
      <c r="E71" s="210"/>
      <c r="H71" s="210"/>
      <c r="I71" s="210"/>
      <c r="J71" s="210"/>
    </row>
    <row r="72" spans="2:10" x14ac:dyDescent="0.35">
      <c r="B72" s="747" t="s">
        <v>1942</v>
      </c>
      <c r="C72" s="747"/>
      <c r="D72" s="753"/>
      <c r="E72" s="210"/>
      <c r="H72" s="210"/>
      <c r="I72" s="210"/>
      <c r="J72" s="210"/>
    </row>
    <row r="73" spans="2:10" x14ac:dyDescent="0.35">
      <c r="B73" s="747" t="s">
        <v>1943</v>
      </c>
      <c r="C73" s="747"/>
      <c r="D73" s="753"/>
      <c r="E73" s="210"/>
      <c r="H73" s="210" t="s">
        <v>1944</v>
      </c>
      <c r="I73" s="210"/>
      <c r="J73" s="210"/>
    </row>
    <row r="74" spans="2:10" x14ac:dyDescent="0.35">
      <c r="B74" s="747" t="s">
        <v>1945</v>
      </c>
      <c r="C74" s="747"/>
      <c r="D74" s="753"/>
      <c r="E74" s="210"/>
      <c r="H74" s="210" t="s">
        <v>1946</v>
      </c>
      <c r="I74" s="210"/>
      <c r="J74" s="210"/>
    </row>
    <row r="75" spans="2:10" x14ac:dyDescent="0.35">
      <c r="B75" s="747" t="s">
        <v>1850</v>
      </c>
      <c r="C75" s="747"/>
      <c r="D75" s="210"/>
      <c r="E75" s="210"/>
      <c r="H75" s="210"/>
      <c r="I75" s="210"/>
      <c r="J75" s="210"/>
    </row>
    <row r="76" spans="2:10" x14ac:dyDescent="0.35">
      <c r="B76" s="210"/>
      <c r="C76" s="210"/>
      <c r="D76" s="210"/>
      <c r="E76" s="210"/>
      <c r="H76" s="210"/>
      <c r="I76" s="210"/>
      <c r="J76" s="210"/>
    </row>
    <row r="77" spans="2:10" x14ac:dyDescent="0.35">
      <c r="B77" s="747" t="s">
        <v>1947</v>
      </c>
      <c r="C77" s="747" t="s">
        <v>1948</v>
      </c>
      <c r="D77" s="210"/>
      <c r="E77" s="210"/>
      <c r="H77" s="210"/>
      <c r="I77" s="210"/>
      <c r="J77" s="210"/>
    </row>
    <row r="78" spans="2:10" x14ac:dyDescent="0.35">
      <c r="B78" s="210"/>
      <c r="C78" s="210"/>
      <c r="D78" s="210"/>
      <c r="E78" s="210"/>
      <c r="H78" s="210"/>
      <c r="I78" s="210"/>
      <c r="J78" s="210"/>
    </row>
    <row r="79" spans="2:10" x14ac:dyDescent="0.35">
      <c r="B79" s="747" t="s">
        <v>1949</v>
      </c>
      <c r="C79" s="747"/>
      <c r="D79" s="210"/>
      <c r="E79" s="210"/>
      <c r="H79" s="210"/>
      <c r="I79" s="210"/>
      <c r="J79" s="210"/>
    </row>
    <row r="80" spans="2:10" x14ac:dyDescent="0.35">
      <c r="B80" s="747" t="s">
        <v>1851</v>
      </c>
      <c r="C80" s="747" t="s">
        <v>1947</v>
      </c>
      <c r="D80" s="210"/>
      <c r="E80" s="210"/>
      <c r="H80" s="210"/>
      <c r="I80" s="210"/>
      <c r="J80" s="210"/>
    </row>
    <row r="81" spans="2:10" x14ac:dyDescent="0.35">
      <c r="B81" s="754">
        <v>42736</v>
      </c>
      <c r="C81" s="753">
        <v>234.95833333333334</v>
      </c>
      <c r="D81" s="210"/>
      <c r="E81" s="210"/>
      <c r="F81">
        <f>C81/C86</f>
        <v>0.67510619244417414</v>
      </c>
      <c r="H81" s="210"/>
      <c r="I81" s="210"/>
      <c r="J81" s="210"/>
    </row>
    <row r="82" spans="2:10" x14ac:dyDescent="0.35">
      <c r="B82" s="754">
        <v>43101</v>
      </c>
      <c r="C82" s="753">
        <v>247.02500000000001</v>
      </c>
      <c r="D82" s="210"/>
      <c r="E82" s="210"/>
      <c r="H82" s="210"/>
      <c r="I82" s="210"/>
      <c r="J82" s="210"/>
    </row>
    <row r="83" spans="2:10" x14ac:dyDescent="0.35">
      <c r="B83" s="754">
        <v>43466</v>
      </c>
      <c r="C83" s="753">
        <v>251.27500000000001</v>
      </c>
      <c r="D83" s="210"/>
      <c r="E83" s="210"/>
      <c r="H83" s="210"/>
      <c r="I83" s="210"/>
      <c r="J83" s="210"/>
    </row>
    <row r="84" spans="2:10" x14ac:dyDescent="0.35">
      <c r="B84" s="754">
        <v>43831</v>
      </c>
      <c r="C84" s="753">
        <v>256.94166666666666</v>
      </c>
      <c r="D84" s="210"/>
      <c r="E84" s="210"/>
      <c r="H84" s="210"/>
      <c r="I84" s="210"/>
      <c r="J84" s="210"/>
    </row>
    <row r="85" spans="2:10" x14ac:dyDescent="0.35">
      <c r="B85" s="754">
        <v>44197</v>
      </c>
      <c r="C85" s="753">
        <v>298.95841666666666</v>
      </c>
      <c r="D85" s="210"/>
      <c r="E85" s="210"/>
      <c r="H85" s="210"/>
      <c r="I85" s="210"/>
      <c r="J85" s="210"/>
    </row>
    <row r="86" spans="2:10" x14ac:dyDescent="0.35">
      <c r="B86" s="754">
        <v>44562</v>
      </c>
      <c r="C86" s="753">
        <v>348.03166666666669</v>
      </c>
      <c r="D86" s="210"/>
      <c r="E86" s="210"/>
      <c r="H86" s="210"/>
      <c r="I86" s="210"/>
      <c r="J86" s="210"/>
    </row>
    <row r="87" spans="2:10" x14ac:dyDescent="0.35">
      <c r="B87" s="754">
        <v>44927</v>
      </c>
      <c r="C87" s="753">
        <v>351.04091666666665</v>
      </c>
      <c r="D87" s="210"/>
      <c r="E87" s="210"/>
      <c r="H87" s="210"/>
      <c r="I87" s="210"/>
      <c r="J87" s="210"/>
    </row>
    <row r="88" spans="2:10" x14ac:dyDescent="0.35">
      <c r="B88" s="754">
        <v>45292</v>
      </c>
      <c r="C88" s="747">
        <v>0</v>
      </c>
      <c r="D88" s="210"/>
      <c r="E88" s="210"/>
      <c r="H88" s="210"/>
      <c r="I88" s="210"/>
      <c r="J88" s="210"/>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r:id="rId1"/>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BT155"/>
  <sheetViews>
    <sheetView topLeftCell="C1" zoomScale="115" zoomScaleNormal="115" workbookViewId="0">
      <pane xSplit="2" ySplit="7" topLeftCell="Z8" activePane="bottomRight" state="frozen"/>
      <selection activeCell="C1" sqref="C1"/>
      <selection pane="topRight" activeCell="E1" sqref="E1"/>
      <selection pane="bottomLeft" activeCell="C8" sqref="C8"/>
      <selection pane="bottomRight" activeCell="AE19" sqref="AE19"/>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253" t="s">
        <v>58</v>
      </c>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4:57" ht="14.25" customHeight="1" x14ac:dyDescent="0.35">
      <c r="D2" s="1363" t="s">
        <v>906</v>
      </c>
      <c r="E2" s="1363"/>
      <c r="F2" s="1363"/>
      <c r="G2" s="1363"/>
      <c r="H2" s="1363"/>
      <c r="I2" s="1363"/>
      <c r="J2" s="1363"/>
      <c r="K2" s="1363"/>
      <c r="L2" s="1363"/>
      <c r="M2" s="1363"/>
      <c r="N2" s="1363"/>
      <c r="O2" s="1363"/>
      <c r="P2" s="1363"/>
      <c r="Q2" s="1363"/>
      <c r="R2" s="1363"/>
      <c r="S2" s="1363"/>
      <c r="T2" s="1363"/>
      <c r="U2" s="1363"/>
      <c r="V2" s="1363"/>
      <c r="W2" s="1363"/>
      <c r="X2" s="1363"/>
      <c r="Y2" s="1363"/>
      <c r="Z2" s="1363"/>
      <c r="AA2" s="1363"/>
      <c r="AB2" s="1363"/>
      <c r="AC2" s="1363"/>
    </row>
    <row r="3" spans="4:57" ht="84.75" hidden="1" customHeight="1" x14ac:dyDescent="0.35">
      <c r="D3" s="1363"/>
      <c r="E3" s="1363"/>
      <c r="F3" s="1363"/>
      <c r="G3" s="1363"/>
      <c r="H3" s="1363"/>
      <c r="I3" s="1363"/>
      <c r="J3" s="1363"/>
      <c r="K3" s="1363"/>
      <c r="L3" s="1363"/>
      <c r="M3" s="1363"/>
      <c r="N3" s="1363"/>
      <c r="O3" s="1363"/>
      <c r="P3" s="1363"/>
      <c r="Q3" s="1363"/>
      <c r="R3" s="1363"/>
      <c r="S3" s="1363"/>
      <c r="T3" s="1363"/>
      <c r="U3" s="1363"/>
      <c r="V3" s="1363"/>
      <c r="W3" s="1363"/>
      <c r="X3" s="1363"/>
      <c r="Y3" s="1363"/>
      <c r="Z3" s="1363"/>
      <c r="AA3" s="1363"/>
      <c r="AB3" s="1363"/>
      <c r="AC3" s="1363"/>
    </row>
    <row r="4" spans="4:57" x14ac:dyDescent="0.35">
      <c r="D4" s="878" t="s">
        <v>332</v>
      </c>
      <c r="W4" s="56"/>
    </row>
    <row r="5" spans="4:57" x14ac:dyDescent="0.35">
      <c r="D5" s="1256" t="s">
        <v>402</v>
      </c>
      <c r="E5" s="1257"/>
      <c r="F5" s="1416" t="s">
        <v>279</v>
      </c>
      <c r="G5" s="1417"/>
      <c r="H5" s="1417"/>
      <c r="I5" s="1417"/>
      <c r="J5" s="1417"/>
      <c r="K5" s="1417"/>
      <c r="L5" s="1417"/>
      <c r="M5" s="1417"/>
      <c r="N5" s="1417"/>
      <c r="O5" s="1417"/>
      <c r="P5" s="1417"/>
      <c r="Q5" s="1417"/>
      <c r="R5" s="1417"/>
      <c r="S5" s="1417"/>
      <c r="T5" s="1417"/>
      <c r="U5" s="1417"/>
      <c r="V5" s="1417"/>
      <c r="W5" s="1417"/>
      <c r="X5" s="1417"/>
      <c r="Y5" s="1417"/>
      <c r="Z5" s="1417"/>
      <c r="AA5" s="1417"/>
      <c r="AB5" s="1418"/>
      <c r="AC5" s="1261" t="s">
        <v>280</v>
      </c>
      <c r="AD5" s="1262"/>
      <c r="AE5" s="1262"/>
      <c r="AF5" s="1262"/>
      <c r="AG5" s="1262"/>
      <c r="AH5" s="1262"/>
      <c r="AI5" s="1262"/>
      <c r="AJ5" s="1262"/>
      <c r="AK5" s="1262"/>
      <c r="AL5" s="1262"/>
      <c r="AM5" s="1262"/>
      <c r="AN5" s="1263"/>
      <c r="AO5" s="804"/>
      <c r="AP5" s="804"/>
      <c r="AQ5" s="804"/>
      <c r="AR5" s="804"/>
      <c r="AS5" s="804"/>
      <c r="AT5" s="804"/>
      <c r="AU5" s="804"/>
      <c r="AV5" s="804"/>
      <c r="AW5" s="804"/>
      <c r="AX5" s="804"/>
      <c r="AY5" s="804"/>
      <c r="AZ5" s="804"/>
      <c r="BA5" s="804"/>
      <c r="BB5" s="804"/>
      <c r="BC5" s="804"/>
      <c r="BD5" s="804"/>
      <c r="BE5" s="804"/>
    </row>
    <row r="6" spans="4:57" x14ac:dyDescent="0.35">
      <c r="D6" s="1258"/>
      <c r="E6" s="1259"/>
      <c r="F6" s="1347">
        <v>2019</v>
      </c>
      <c r="G6" s="1348"/>
      <c r="H6" s="1389"/>
      <c r="I6" s="1348">
        <v>2020</v>
      </c>
      <c r="J6" s="1348"/>
      <c r="K6" s="1348"/>
      <c r="L6" s="1348"/>
      <c r="M6" s="1264">
        <v>2021</v>
      </c>
      <c r="N6" s="1359"/>
      <c r="O6" s="1359"/>
      <c r="P6" s="1359"/>
      <c r="Q6" s="1264">
        <v>2022</v>
      </c>
      <c r="R6" s="1265"/>
      <c r="S6" s="1265"/>
      <c r="T6" s="1266"/>
      <c r="U6" s="1264">
        <v>2023</v>
      </c>
      <c r="V6" s="1265"/>
      <c r="W6" s="1265"/>
      <c r="X6" s="1266"/>
      <c r="Y6" s="453"/>
      <c r="Z6" s="439"/>
      <c r="AA6" s="439">
        <v>2024</v>
      </c>
      <c r="AB6" s="306"/>
      <c r="AC6" s="1270">
        <v>2025</v>
      </c>
      <c r="AD6" s="1352"/>
      <c r="AE6" s="1352"/>
      <c r="AF6" s="1272"/>
      <c r="AG6" s="1270">
        <v>2026</v>
      </c>
      <c r="AH6" s="1352"/>
      <c r="AI6" s="1352"/>
      <c r="AJ6" s="1272"/>
      <c r="AK6" s="1270">
        <v>2027</v>
      </c>
      <c r="AL6" s="1352"/>
      <c r="AM6" s="1352"/>
      <c r="AN6" s="1272"/>
      <c r="AO6" s="805"/>
      <c r="AP6" s="805"/>
      <c r="AQ6" s="805"/>
      <c r="AR6" s="805"/>
      <c r="AS6" s="805"/>
      <c r="AT6" s="805"/>
      <c r="AU6" s="805"/>
      <c r="AV6" s="805"/>
      <c r="AW6" s="805"/>
      <c r="AX6" s="805"/>
      <c r="AY6" s="805"/>
      <c r="AZ6" s="805"/>
      <c r="BA6" s="805"/>
      <c r="BB6" s="805"/>
      <c r="BC6" s="805"/>
      <c r="BD6" s="805"/>
    </row>
    <row r="7" spans="4:57" x14ac:dyDescent="0.35">
      <c r="D7" s="1274"/>
      <c r="E7" s="1275"/>
      <c r="F7" s="221" t="s">
        <v>283</v>
      </c>
      <c r="G7" s="222" t="s">
        <v>238</v>
      </c>
      <c r="H7" s="228" t="s">
        <v>281</v>
      </c>
      <c r="I7" s="222" t="s">
        <v>282</v>
      </c>
      <c r="J7" s="222" t="s">
        <v>283</v>
      </c>
      <c r="K7" s="222" t="s">
        <v>238</v>
      </c>
      <c r="L7" s="222" t="s">
        <v>281</v>
      </c>
      <c r="M7" s="221" t="s">
        <v>282</v>
      </c>
      <c r="N7" s="222" t="s">
        <v>283</v>
      </c>
      <c r="O7" s="222" t="s">
        <v>238</v>
      </c>
      <c r="P7" s="222" t="s">
        <v>281</v>
      </c>
      <c r="Q7" s="221" t="s">
        <v>282</v>
      </c>
      <c r="R7" s="222" t="s">
        <v>283</v>
      </c>
      <c r="S7" s="222" t="s">
        <v>238</v>
      </c>
      <c r="T7" s="228" t="s">
        <v>281</v>
      </c>
      <c r="U7" s="222" t="s">
        <v>282</v>
      </c>
      <c r="V7" s="283" t="s">
        <v>283</v>
      </c>
      <c r="W7" s="222" t="s">
        <v>238</v>
      </c>
      <c r="X7" s="228" t="s">
        <v>281</v>
      </c>
      <c r="Y7" s="221" t="s">
        <v>282</v>
      </c>
      <c r="Z7" s="303" t="s">
        <v>283</v>
      </c>
      <c r="AA7" s="222" t="s">
        <v>238</v>
      </c>
      <c r="AB7" s="222" t="s">
        <v>281</v>
      </c>
      <c r="AC7" s="282" t="s">
        <v>282</v>
      </c>
      <c r="AD7" s="267" t="s">
        <v>283</v>
      </c>
      <c r="AE7" s="269" t="s">
        <v>238</v>
      </c>
      <c r="AF7" s="269" t="s">
        <v>281</v>
      </c>
      <c r="AG7" s="296" t="s">
        <v>282</v>
      </c>
      <c r="AH7" s="267" t="s">
        <v>283</v>
      </c>
      <c r="AI7" s="269" t="s">
        <v>238</v>
      </c>
      <c r="AJ7" s="298" t="s">
        <v>281</v>
      </c>
      <c r="AK7" s="296" t="s">
        <v>282</v>
      </c>
      <c r="AL7" s="267" t="s">
        <v>283</v>
      </c>
      <c r="AM7" s="269" t="s">
        <v>238</v>
      </c>
      <c r="AN7" s="298" t="s">
        <v>281</v>
      </c>
      <c r="AO7" s="784"/>
      <c r="AP7" s="784"/>
      <c r="AQ7" s="784"/>
      <c r="AR7" s="784"/>
      <c r="AS7" s="784"/>
      <c r="AT7" s="784"/>
      <c r="AU7" s="784"/>
      <c r="AV7" s="784"/>
      <c r="AW7" s="784"/>
      <c r="AX7" s="784"/>
      <c r="AY7" s="784"/>
      <c r="AZ7" s="784"/>
      <c r="BA7" s="784"/>
      <c r="BB7" s="784"/>
      <c r="BC7" s="784"/>
      <c r="BD7" s="784"/>
    </row>
    <row r="8" spans="4:57" x14ac:dyDescent="0.35">
      <c r="D8" s="893" t="s">
        <v>464</v>
      </c>
      <c r="E8" s="55"/>
      <c r="F8" s="887"/>
      <c r="G8" s="888"/>
      <c r="H8" s="888"/>
      <c r="I8" s="888"/>
      <c r="J8" s="888"/>
      <c r="K8" s="888"/>
      <c r="L8" s="888"/>
      <c r="M8" s="888"/>
      <c r="N8" s="888"/>
      <c r="O8" s="888"/>
      <c r="P8" s="888"/>
      <c r="Q8" s="888"/>
      <c r="R8" s="888"/>
      <c r="S8" s="888"/>
      <c r="T8" s="888"/>
      <c r="U8" s="783"/>
      <c r="V8" s="783"/>
      <c r="W8" s="783"/>
      <c r="X8" s="888"/>
      <c r="Y8" s="889"/>
      <c r="Z8" s="889"/>
      <c r="AA8" s="889"/>
      <c r="AB8" s="889"/>
      <c r="AC8" s="823"/>
      <c r="AD8" s="823"/>
      <c r="AE8" s="823"/>
      <c r="AF8" s="823"/>
      <c r="AG8" s="849"/>
      <c r="AH8" s="849"/>
      <c r="AI8" s="849"/>
      <c r="AJ8" s="849"/>
      <c r="AK8" s="849"/>
      <c r="AL8" s="849"/>
      <c r="AM8" s="849"/>
      <c r="AN8" s="849"/>
      <c r="AO8" s="676"/>
      <c r="AP8" s="676"/>
      <c r="AQ8" s="676"/>
      <c r="AR8" s="676"/>
      <c r="AS8" s="676"/>
      <c r="AT8" s="676"/>
      <c r="AU8" s="676"/>
      <c r="AV8" s="676"/>
      <c r="AW8" s="676"/>
      <c r="AX8" s="676"/>
      <c r="AY8" s="676"/>
      <c r="AZ8" s="676"/>
      <c r="BA8" s="676"/>
      <c r="BB8" s="676"/>
      <c r="BC8" s="676"/>
      <c r="BD8" s="676"/>
    </row>
    <row r="9" spans="4:57" ht="14.9" customHeight="1" x14ac:dyDescent="0.35">
      <c r="D9" s="499" t="s">
        <v>479</v>
      </c>
      <c r="E9" s="892"/>
      <c r="F9" s="844">
        <f t="shared" ref="F9:S9" si="0">SUM(F10:F15)</f>
        <v>3259.3999999999996</v>
      </c>
      <c r="G9" s="780">
        <f t="shared" si="0"/>
        <v>3286.9</v>
      </c>
      <c r="H9" s="780">
        <f t="shared" si="0"/>
        <v>3343.2000000000003</v>
      </c>
      <c r="I9" s="780">
        <f t="shared" si="0"/>
        <v>3392.5</v>
      </c>
      <c r="J9" s="780">
        <f t="shared" si="0"/>
        <v>3135.1000000000004</v>
      </c>
      <c r="K9" s="780">
        <f t="shared" si="0"/>
        <v>3318.9</v>
      </c>
      <c r="L9" s="780">
        <f t="shared" si="0"/>
        <v>3478.3</v>
      </c>
      <c r="M9" s="780">
        <f t="shared" si="0"/>
        <v>3638.1</v>
      </c>
      <c r="N9" s="780">
        <f t="shared" si="0"/>
        <v>3792.5</v>
      </c>
      <c r="O9" s="780">
        <f t="shared" si="0"/>
        <v>3916.4</v>
      </c>
      <c r="P9" s="780">
        <f t="shared" si="0"/>
        <v>4047.3</v>
      </c>
      <c r="Q9" s="780">
        <f t="shared" si="0"/>
        <v>4447.4000000000005</v>
      </c>
      <c r="R9" s="780">
        <f t="shared" si="0"/>
        <v>4479.2000000000007</v>
      </c>
      <c r="S9" s="780">
        <f t="shared" si="0"/>
        <v>4541.8</v>
      </c>
      <c r="T9" s="780">
        <f t="shared" ref="T9:AG9" si="1">SUM(T10,T13,T15)</f>
        <v>4515.6000000000004</v>
      </c>
      <c r="U9" s="780">
        <f t="shared" si="1"/>
        <v>4197.2</v>
      </c>
      <c r="V9" s="780">
        <f t="shared" si="1"/>
        <v>4212.5</v>
      </c>
      <c r="W9" s="780">
        <f t="shared" si="1"/>
        <v>4250.7</v>
      </c>
      <c r="X9" s="780">
        <f t="shared" si="1"/>
        <v>4287.7</v>
      </c>
      <c r="Y9" s="815">
        <f t="shared" si="1"/>
        <v>4397.3999999999996</v>
      </c>
      <c r="Z9" s="815">
        <f t="shared" si="1"/>
        <v>4417.2</v>
      </c>
      <c r="AA9" s="815">
        <f t="shared" si="1"/>
        <v>4456.5</v>
      </c>
      <c r="AB9" s="815">
        <f t="shared" si="1"/>
        <v>4532.8999999999996</v>
      </c>
      <c r="AC9" s="815">
        <f t="shared" si="1"/>
        <v>4640.7</v>
      </c>
      <c r="AD9" s="815">
        <f>SUM(AD10,AD13,AD15)</f>
        <v>4709.8180616202872</v>
      </c>
      <c r="AE9" s="815">
        <f>SUM(AE10,AE13,AE15)</f>
        <v>4733.3914661386643</v>
      </c>
      <c r="AF9" s="815">
        <f>SUM(AF10,AF13,AF15)</f>
        <v>4757.1843093197967</v>
      </c>
      <c r="AG9" s="815">
        <f t="shared" si="1"/>
        <v>4730.7466044573812</v>
      </c>
      <c r="AH9" s="815">
        <f>SUM(AH10,AH13,AH15)</f>
        <v>4763.1925237450323</v>
      </c>
      <c r="AI9" s="815">
        <f>SUM(AI10,AI13,AI15)</f>
        <v>4796.0143109262117</v>
      </c>
      <c r="AJ9" s="815">
        <f>SUM(AJ10,AJ13,AJ15)</f>
        <v>4829.2143547518372</v>
      </c>
      <c r="AK9" s="815">
        <f>SUM(AK10,AK13,AK15)</f>
        <v>4959.971965252872</v>
      </c>
      <c r="AL9" s="815">
        <f t="shared" ref="AL9:AN9" si="2">SUM(AL10,AL13,AL15)</f>
        <v>4985.5804830933184</v>
      </c>
      <c r="AM9" s="815">
        <f t="shared" si="2"/>
        <v>5011.4127411648687</v>
      </c>
      <c r="AN9" s="815">
        <f t="shared" si="2"/>
        <v>5037.4690118790759</v>
      </c>
      <c r="AO9" s="772"/>
      <c r="AP9" s="772"/>
      <c r="AV9" s="807"/>
      <c r="AW9" s="807"/>
      <c r="AX9" s="807"/>
      <c r="AY9" s="807"/>
      <c r="AZ9" s="807"/>
      <c r="BA9" s="807"/>
      <c r="BB9" s="807"/>
      <c r="BC9" s="807"/>
      <c r="BD9" s="807"/>
    </row>
    <row r="10" spans="4:57" x14ac:dyDescent="0.35">
      <c r="D10" s="529" t="s">
        <v>480</v>
      </c>
      <c r="E10" s="39" t="s">
        <v>115</v>
      </c>
      <c r="F10" s="775">
        <f>'Haver Pivoted'!GQ27</f>
        <v>1686.7</v>
      </c>
      <c r="G10" s="856">
        <f>'Haver Pivoted'!GR27</f>
        <v>1699.8</v>
      </c>
      <c r="H10" s="856">
        <f>'Haver Pivoted'!GS27</f>
        <v>1736.2</v>
      </c>
      <c r="I10" s="856">
        <f>'Haver Pivoted'!GT27</f>
        <v>1755.2</v>
      </c>
      <c r="J10" s="856">
        <f>'Haver Pivoted'!GU27</f>
        <v>1622.1</v>
      </c>
      <c r="K10" s="856">
        <f>'Haver Pivoted'!GV27</f>
        <v>1736.6</v>
      </c>
      <c r="L10" s="856">
        <f>'Haver Pivoted'!GW27</f>
        <v>1849.4</v>
      </c>
      <c r="M10" s="856">
        <f>'Haver Pivoted'!GX27</f>
        <v>1988.7</v>
      </c>
      <c r="N10" s="856">
        <f>'Haver Pivoted'!GY27</f>
        <v>2089.5</v>
      </c>
      <c r="O10" s="856">
        <f>'Haver Pivoted'!GZ27</f>
        <v>2173.6</v>
      </c>
      <c r="P10" s="856">
        <f>'Haver Pivoted'!HA27</f>
        <v>2248</v>
      </c>
      <c r="Q10" s="856">
        <f>'Haver Pivoted'!HB27</f>
        <v>2597.4</v>
      </c>
      <c r="R10" s="856">
        <f>'Haver Pivoted'!HC27</f>
        <v>2604.3000000000002</v>
      </c>
      <c r="S10" s="856">
        <f>'Haver Pivoted'!HD27</f>
        <v>2628.3</v>
      </c>
      <c r="T10" s="814">
        <f>'Haver Pivoted'!HE27</f>
        <v>2595.6999999999998</v>
      </c>
      <c r="U10" s="814">
        <f>'Haver Pivoted'!HF27</f>
        <v>2256.3000000000002</v>
      </c>
      <c r="V10" s="814">
        <f>'Haver Pivoted'!HG27</f>
        <v>2246.8000000000002</v>
      </c>
      <c r="W10" s="814">
        <f>'Haver Pivoted'!HH27</f>
        <v>2260.5</v>
      </c>
      <c r="X10" s="814">
        <f>'Haver Pivoted'!HI27</f>
        <v>2282.1999999999998</v>
      </c>
      <c r="Y10" s="814">
        <f>'Haver Pivoted'!HJ27</f>
        <v>2356.1</v>
      </c>
      <c r="Z10" s="814">
        <f>'Haver Pivoted'!HK27</f>
        <v>2375.4</v>
      </c>
      <c r="AA10" s="814">
        <f>'Haver Pivoted'!HL27</f>
        <v>2398.6999999999998</v>
      </c>
      <c r="AB10" s="814">
        <f>'Haver Pivoted'!HM27</f>
        <v>2447.1999999999998</v>
      </c>
      <c r="AC10" s="814">
        <f>'Haver Pivoted'!HN27</f>
        <v>2514.8000000000002</v>
      </c>
      <c r="AD10" s="816">
        <f>AC10*(1.02)^0.25+AD12+AD11</f>
        <v>2569.2807803202932</v>
      </c>
      <c r="AE10" s="816">
        <f>AD10*(1.02)^0.25+AE12+AE11</f>
        <v>2582.0319450253705</v>
      </c>
      <c r="AF10" s="816">
        <f>AE10*(1.02)^0.25+AF12+AF11</f>
        <v>2594.846392888358</v>
      </c>
      <c r="AG10" s="779">
        <f>AC10*(1+$M38-0.01)+AG12+AG11</f>
        <v>2548.9239620953158</v>
      </c>
      <c r="AH10" s="816">
        <f>AG10*(1.02)^0.25+AH12+AH11</f>
        <v>2561.5740973044944</v>
      </c>
      <c r="AI10" s="816">
        <f>AH10*(1.02)^0.25+AI12+AI11</f>
        <v>2574.2870142691081</v>
      </c>
      <c r="AJ10" s="816">
        <f>AI10*(1.02)^0.25+AJ12+AJ11</f>
        <v>2587.063024570713</v>
      </c>
      <c r="AK10" s="779">
        <f>AG10*(1+$L38-0.01)+AK12+AK11</f>
        <v>2697.079311776844</v>
      </c>
      <c r="AL10" s="816">
        <f>AK10*(1.02)^0.25+AL12+AL11</f>
        <v>2710.4647318486959</v>
      </c>
      <c r="AM10" s="816">
        <f>AL10*(1.02)^0.25+AM12+AM11</f>
        <v>2723.9165828444434</v>
      </c>
      <c r="AN10" s="816">
        <f>AM10*(1.02)^0.25+AN12+AN11</f>
        <v>2737.4351944562154</v>
      </c>
      <c r="AO10" s="772"/>
      <c r="AP10" s="772"/>
      <c r="AV10" s="676"/>
      <c r="AW10" s="676"/>
      <c r="AX10" s="676"/>
      <c r="AY10" s="676"/>
      <c r="AZ10" s="676"/>
      <c r="BA10" s="676"/>
      <c r="BB10" s="676"/>
      <c r="BC10" s="676"/>
      <c r="BD10" s="676"/>
    </row>
    <row r="11" spans="4:57" x14ac:dyDescent="0.35">
      <c r="D11" s="1251" t="s">
        <v>2329</v>
      </c>
      <c r="E11" s="39"/>
      <c r="F11" s="775"/>
      <c r="G11" s="856"/>
      <c r="H11" s="856"/>
      <c r="I11" s="856"/>
      <c r="J11" s="856"/>
      <c r="K11" s="856"/>
      <c r="L11" s="856"/>
      <c r="M11" s="856"/>
      <c r="N11" s="856"/>
      <c r="O11" s="856"/>
      <c r="P11" s="856"/>
      <c r="Q11" s="856"/>
      <c r="R11" s="856"/>
      <c r="S11" s="856"/>
      <c r="T11" s="814"/>
      <c r="U11" s="814"/>
      <c r="V11" s="814"/>
      <c r="W11" s="814"/>
      <c r="X11" s="814"/>
      <c r="Y11" s="814"/>
      <c r="Z11" s="814"/>
      <c r="AA11" s="814"/>
      <c r="AB11" s="814"/>
      <c r="AC11" s="814"/>
      <c r="AD11" s="816"/>
      <c r="AE11" s="816"/>
      <c r="AF11" s="816"/>
      <c r="AG11" s="779"/>
      <c r="AH11" s="779"/>
      <c r="AI11" s="779"/>
      <c r="AJ11" s="816"/>
      <c r="AK11" s="779"/>
      <c r="AL11" s="816"/>
      <c r="AM11" s="816"/>
      <c r="AN11" s="816"/>
      <c r="AO11" s="772"/>
      <c r="AP11" s="772"/>
      <c r="AV11" s="676"/>
      <c r="AW11" s="676"/>
      <c r="AX11" s="676"/>
      <c r="AY11" s="676"/>
      <c r="AZ11" s="676"/>
      <c r="BA11" s="676"/>
      <c r="BB11" s="676"/>
      <c r="BC11" s="676"/>
      <c r="BD11" s="676"/>
    </row>
    <row r="12" spans="4:57" x14ac:dyDescent="0.35">
      <c r="D12" s="529" t="s">
        <v>1745</v>
      </c>
      <c r="E12" s="39"/>
      <c r="F12" s="891"/>
      <c r="G12" s="890"/>
      <c r="H12" s="890"/>
      <c r="I12" s="890"/>
      <c r="J12" s="890"/>
      <c r="K12" s="890"/>
      <c r="L12" s="890"/>
      <c r="M12" s="890"/>
      <c r="N12" s="890"/>
      <c r="O12" s="890"/>
      <c r="P12" s="890"/>
      <c r="Q12" s="890"/>
      <c r="R12" s="890"/>
      <c r="S12" s="781"/>
      <c r="T12" s="781">
        <v>46</v>
      </c>
      <c r="U12" s="781">
        <v>-5</v>
      </c>
      <c r="V12" s="781">
        <v>12</v>
      </c>
      <c r="W12" s="781">
        <v>67</v>
      </c>
      <c r="X12" s="781">
        <v>7</v>
      </c>
      <c r="Y12" s="886">
        <v>-205</v>
      </c>
      <c r="Z12" s="886">
        <v>47</v>
      </c>
      <c r="AA12" s="886">
        <v>17</v>
      </c>
      <c r="AB12" s="886">
        <v>10</v>
      </c>
      <c r="AC12" s="886">
        <v>-32</v>
      </c>
      <c r="AD12" s="886">
        <v>42</v>
      </c>
      <c r="AE12" s="886">
        <v>0</v>
      </c>
      <c r="AF12" s="886">
        <v>0</v>
      </c>
      <c r="AG12" s="886">
        <v>0</v>
      </c>
      <c r="AH12" s="886">
        <v>0</v>
      </c>
      <c r="AI12" s="886">
        <v>0</v>
      </c>
      <c r="AJ12" s="886">
        <v>0</v>
      </c>
      <c r="AK12" s="886">
        <v>0</v>
      </c>
      <c r="AL12" s="886">
        <v>0</v>
      </c>
      <c r="AM12" s="886">
        <v>0</v>
      </c>
      <c r="AN12" s="886">
        <v>0</v>
      </c>
      <c r="AO12" s="772"/>
      <c r="AP12" s="772"/>
      <c r="AV12" s="676"/>
      <c r="AW12" s="676"/>
      <c r="AX12" s="676"/>
      <c r="AY12" s="676"/>
      <c r="AZ12" s="676"/>
      <c r="BA12" s="676"/>
      <c r="BB12" s="676"/>
      <c r="BC12" s="676"/>
      <c r="BD12" s="676"/>
    </row>
    <row r="13" spans="4:57" x14ac:dyDescent="0.35">
      <c r="D13" s="529" t="s">
        <v>481</v>
      </c>
      <c r="E13" s="36" t="s">
        <v>121</v>
      </c>
      <c r="F13" s="775">
        <f>'Haver Pivoted'!GQ30</f>
        <v>1403.5</v>
      </c>
      <c r="G13" s="856">
        <f>'Haver Pivoted'!GR30</f>
        <v>1410.3</v>
      </c>
      <c r="H13" s="856">
        <f>'Haver Pivoted'!GS30</f>
        <v>1428.2</v>
      </c>
      <c r="I13" s="856">
        <f>'Haver Pivoted'!GT30</f>
        <v>1453.2</v>
      </c>
      <c r="J13" s="856">
        <f>'Haver Pivoted'!GU30</f>
        <v>1383.7</v>
      </c>
      <c r="K13" s="856">
        <f>'Haver Pivoted'!GV30</f>
        <v>1433</v>
      </c>
      <c r="L13" s="856">
        <f>'Haver Pivoted'!GW30</f>
        <v>1470.2</v>
      </c>
      <c r="M13" s="856">
        <f>'Haver Pivoted'!GX30</f>
        <v>1487.2</v>
      </c>
      <c r="N13" s="856">
        <f>'Haver Pivoted'!GY30</f>
        <v>1522.5</v>
      </c>
      <c r="O13" s="856">
        <f>'Haver Pivoted'!GZ30</f>
        <v>1559</v>
      </c>
      <c r="P13" s="856">
        <f>'Haver Pivoted'!HA30</f>
        <v>1603.5</v>
      </c>
      <c r="Q13" s="856">
        <f>'Haver Pivoted'!HB30</f>
        <v>1642.9</v>
      </c>
      <c r="R13" s="856">
        <f>'Haver Pivoted'!HC30</f>
        <v>1665.9</v>
      </c>
      <c r="S13" s="856">
        <f>'Haver Pivoted'!HD30</f>
        <v>1713.2</v>
      </c>
      <c r="T13" s="814">
        <f>'Haver Pivoted'!HE30</f>
        <v>1729.9</v>
      </c>
      <c r="U13" s="814">
        <f>'Haver Pivoted'!HF30</f>
        <v>1761.2</v>
      </c>
      <c r="V13" s="814">
        <f>'Haver Pivoted'!HG30</f>
        <v>1789.9</v>
      </c>
      <c r="W13" s="814">
        <f>'Haver Pivoted'!HH30</f>
        <v>1818</v>
      </c>
      <c r="X13" s="814">
        <f>'Haver Pivoted'!HI30</f>
        <v>1836.2</v>
      </c>
      <c r="Y13" s="814">
        <f>'Haver Pivoted'!HJ30</f>
        <v>1864.1</v>
      </c>
      <c r="Z13" s="814">
        <f>'Haver Pivoted'!HK30</f>
        <v>1869.4</v>
      </c>
      <c r="AA13" s="814">
        <f>'Haver Pivoted'!HL30</f>
        <v>1876.4</v>
      </c>
      <c r="AB13" s="814">
        <f>'Haver Pivoted'!HM30</f>
        <v>1903.2</v>
      </c>
      <c r="AC13" s="814">
        <f>'Haver Pivoted'!HN30</f>
        <v>1934.6</v>
      </c>
      <c r="AD13" s="816">
        <f>AC13*(1+$L40)^0.25+AD14</f>
        <v>1952.5138386341634</v>
      </c>
      <c r="AE13" s="816">
        <f>AD13*(1+$L40)^0.25+AE14</f>
        <v>1966.556515405448</v>
      </c>
      <c r="AF13" s="816">
        <f>AE13*(1+$L40)^0.25+AF14</f>
        <v>1980.7001885266691</v>
      </c>
      <c r="AG13" s="779">
        <f>AF13*(1+$M40)^0.25+AG14</f>
        <v>2003.2959778630889</v>
      </c>
      <c r="AH13" s="816">
        <f>AG13*(1+$M40)^0.25+AH14</f>
        <v>2026.149539526029</v>
      </c>
      <c r="AI13" s="816">
        <f>AH13*(1+$M40)^0.25+AI14</f>
        <v>2049.2638141771913</v>
      </c>
      <c r="AJ13" s="816">
        <f>AI13*(1+$M40)^0.25+AJ14</f>
        <v>2072.6417760252889</v>
      </c>
      <c r="AK13" s="779">
        <f>AJ13*(1+$M40)^0.25+AK14</f>
        <v>2096.2864332087502</v>
      </c>
      <c r="AL13" s="816">
        <f>AK13*(1+$L40)^0.25+AL14</f>
        <v>2111.3631370041876</v>
      </c>
      <c r="AM13" s="816">
        <f>AL13*(1+$L40)^0.25+AM14</f>
        <v>2126.548273976377</v>
      </c>
      <c r="AN13" s="816">
        <f>AM13*(1+$L40)^0.25+AN14</f>
        <v>2141.8426239876799</v>
      </c>
      <c r="AO13" s="772"/>
      <c r="AP13" s="772"/>
      <c r="AV13" s="676"/>
      <c r="AW13" s="676"/>
      <c r="AX13" s="676"/>
      <c r="AY13" s="676"/>
      <c r="AZ13" s="676"/>
      <c r="BA13" s="676"/>
      <c r="BB13" s="676"/>
      <c r="BC13" s="676"/>
      <c r="BD13" s="676"/>
    </row>
    <row r="14" spans="4:57" x14ac:dyDescent="0.35">
      <c r="D14" s="529" t="s">
        <v>1728</v>
      </c>
      <c r="E14" s="36"/>
      <c r="F14" s="891"/>
      <c r="G14" s="890"/>
      <c r="H14" s="890"/>
      <c r="I14" s="890"/>
      <c r="J14" s="890"/>
      <c r="K14" s="890"/>
      <c r="L14" s="890"/>
      <c r="M14" s="890"/>
      <c r="N14" s="890"/>
      <c r="O14" s="890"/>
      <c r="P14" s="890"/>
      <c r="Q14" s="890"/>
      <c r="R14" s="890"/>
      <c r="S14" s="890"/>
      <c r="T14" s="781"/>
      <c r="U14" s="781">
        <v>8</v>
      </c>
      <c r="V14" s="781">
        <v>-10</v>
      </c>
      <c r="W14" s="781">
        <v>-5</v>
      </c>
      <c r="X14" s="781">
        <v>-6</v>
      </c>
      <c r="Y14" s="886">
        <v>21</v>
      </c>
      <c r="Z14" s="886">
        <v>5</v>
      </c>
      <c r="AA14" s="886">
        <v>-10</v>
      </c>
      <c r="AB14" s="886"/>
      <c r="AC14" s="886">
        <v>5</v>
      </c>
      <c r="AD14" s="886">
        <v>4</v>
      </c>
      <c r="AE14" s="886"/>
      <c r="AF14" s="886"/>
      <c r="AG14" s="886"/>
      <c r="AH14" s="816"/>
      <c r="AI14" s="816"/>
      <c r="AJ14" s="816"/>
      <c r="AK14" s="816"/>
      <c r="AL14" s="816"/>
      <c r="AM14" s="816"/>
      <c r="AN14" s="816"/>
      <c r="AO14" s="772"/>
      <c r="AP14" s="772"/>
      <c r="AV14" s="676"/>
      <c r="AW14" s="676"/>
      <c r="AX14" s="676"/>
      <c r="AY14" s="676"/>
      <c r="AZ14" s="676"/>
      <c r="BA14" s="676"/>
      <c r="BB14" s="676"/>
      <c r="BC14" s="676"/>
      <c r="BD14" s="676"/>
    </row>
    <row r="15" spans="4:57" x14ac:dyDescent="0.35">
      <c r="D15" s="529" t="s">
        <v>482</v>
      </c>
      <c r="E15" s="39" t="s">
        <v>117</v>
      </c>
      <c r="F15" s="775">
        <f>'Haver Pivoted'!GQ28</f>
        <v>169.2</v>
      </c>
      <c r="G15" s="856">
        <f>'Haver Pivoted'!GR28</f>
        <v>176.8</v>
      </c>
      <c r="H15" s="856">
        <f>'Haver Pivoted'!GS28</f>
        <v>178.8</v>
      </c>
      <c r="I15" s="856">
        <f>'Haver Pivoted'!GT28</f>
        <v>184.1</v>
      </c>
      <c r="J15" s="856">
        <f>'Haver Pivoted'!GU28</f>
        <v>129.30000000000001</v>
      </c>
      <c r="K15" s="856">
        <f>'Haver Pivoted'!GV28</f>
        <v>149.30000000000001</v>
      </c>
      <c r="L15" s="856">
        <f>'Haver Pivoted'!GW28</f>
        <v>158.69999999999999</v>
      </c>
      <c r="M15" s="856">
        <f>'Haver Pivoted'!GX28</f>
        <v>162.19999999999999</v>
      </c>
      <c r="N15" s="856">
        <f>'Haver Pivoted'!GY28</f>
        <v>180.5</v>
      </c>
      <c r="O15" s="856">
        <f>'Haver Pivoted'!GZ28</f>
        <v>183.8</v>
      </c>
      <c r="P15" s="856">
        <f>'Haver Pivoted'!HA28</f>
        <v>195.8</v>
      </c>
      <c r="Q15" s="856">
        <f>'Haver Pivoted'!HB28</f>
        <v>207.1</v>
      </c>
      <c r="R15" s="856">
        <f>'Haver Pivoted'!HC28</f>
        <v>209</v>
      </c>
      <c r="S15" s="856">
        <f>'Haver Pivoted'!HD28</f>
        <v>200.3</v>
      </c>
      <c r="T15" s="814">
        <f>'Haver Pivoted'!HE28</f>
        <v>190</v>
      </c>
      <c r="U15" s="814">
        <f>'Haver Pivoted'!HF28</f>
        <v>179.7</v>
      </c>
      <c r="V15" s="814">
        <f>'Haver Pivoted'!HG28</f>
        <v>175.8</v>
      </c>
      <c r="W15" s="814">
        <f>'Haver Pivoted'!HH28</f>
        <v>172.2</v>
      </c>
      <c r="X15" s="814">
        <f>'Haver Pivoted'!HI28</f>
        <v>169.3</v>
      </c>
      <c r="Y15" s="814">
        <f>'Haver Pivoted'!HJ28</f>
        <v>177.2</v>
      </c>
      <c r="Z15" s="814">
        <f>'Haver Pivoted'!HK28</f>
        <v>172.4</v>
      </c>
      <c r="AA15" s="814">
        <f>'Haver Pivoted'!HL28</f>
        <v>181.4</v>
      </c>
      <c r="AB15" s="814">
        <f>'Haver Pivoted'!HM28</f>
        <v>182.5</v>
      </c>
      <c r="AC15" s="814">
        <f>'Haver Pivoted'!HN28</f>
        <v>191.3</v>
      </c>
      <c r="AD15" s="816">
        <f t="shared" ref="AD15:AN15" si="3">AC15*(1+$L41)^0.25</f>
        <v>188.02344266583088</v>
      </c>
      <c r="AE15" s="816">
        <f t="shared" si="3"/>
        <v>184.80300570784627</v>
      </c>
      <c r="AF15" s="816">
        <f t="shared" si="3"/>
        <v>181.63772790476972</v>
      </c>
      <c r="AG15" s="816">
        <f t="shared" si="3"/>
        <v>178.52666449897677</v>
      </c>
      <c r="AH15" s="816">
        <f t="shared" si="3"/>
        <v>175.468886914508</v>
      </c>
      <c r="AI15" s="816">
        <f t="shared" si="3"/>
        <v>172.46348247991193</v>
      </c>
      <c r="AJ15" s="816">
        <f t="shared" si="3"/>
        <v>169.50955415583505</v>
      </c>
      <c r="AK15" s="816">
        <f t="shared" si="3"/>
        <v>166.60622026727759</v>
      </c>
      <c r="AL15" s="816">
        <f t="shared" si="3"/>
        <v>163.75261424043521</v>
      </c>
      <c r="AM15" s="816">
        <f t="shared" si="3"/>
        <v>160.94788434404802</v>
      </c>
      <c r="AN15" s="816">
        <f t="shared" si="3"/>
        <v>158.19119343517977</v>
      </c>
      <c r="AO15" s="772"/>
      <c r="AP15" s="772"/>
      <c r="AV15" s="676"/>
      <c r="AW15" s="676"/>
      <c r="AX15" s="676"/>
      <c r="AY15" s="676"/>
      <c r="AZ15" s="676"/>
      <c r="BA15" s="676"/>
      <c r="BB15" s="676"/>
      <c r="BC15" s="676"/>
      <c r="BD15" s="676"/>
    </row>
    <row r="16" spans="4:57" x14ac:dyDescent="0.35">
      <c r="D16" s="800" t="s">
        <v>1424</v>
      </c>
      <c r="E16" s="801"/>
      <c r="F16" s="891"/>
      <c r="G16" s="890"/>
      <c r="H16" s="890"/>
      <c r="I16" s="890"/>
      <c r="J16" s="890"/>
      <c r="K16" s="890"/>
      <c r="L16" s="890"/>
      <c r="M16" s="890"/>
      <c r="N16" s="890"/>
      <c r="O16" s="890"/>
      <c r="P16" s="890"/>
      <c r="Q16" s="890"/>
      <c r="R16" s="890"/>
      <c r="S16" s="781"/>
      <c r="T16" s="781"/>
      <c r="U16" s="781">
        <v>0</v>
      </c>
      <c r="V16" s="781">
        <v>0</v>
      </c>
      <c r="W16" s="781">
        <v>0</v>
      </c>
      <c r="X16" s="781">
        <v>0</v>
      </c>
      <c r="Y16" s="886">
        <v>0</v>
      </c>
      <c r="Z16" s="886">
        <v>0</v>
      </c>
      <c r="AA16" s="886">
        <v>0</v>
      </c>
      <c r="AB16" s="886">
        <v>0</v>
      </c>
      <c r="AC16" s="886">
        <v>0</v>
      </c>
      <c r="AD16" s="886">
        <v>0</v>
      </c>
      <c r="AE16" s="886">
        <v>0</v>
      </c>
      <c r="AF16" s="886">
        <v>0</v>
      </c>
      <c r="AG16" s="886">
        <v>0</v>
      </c>
      <c r="AH16" s="886">
        <v>0</v>
      </c>
      <c r="AI16" s="886">
        <v>0</v>
      </c>
      <c r="AJ16" s="886">
        <v>0</v>
      </c>
      <c r="AK16" s="886">
        <v>0</v>
      </c>
      <c r="AL16" s="886">
        <v>0</v>
      </c>
      <c r="AM16" s="886">
        <v>0</v>
      </c>
      <c r="AN16" s="886">
        <v>0</v>
      </c>
      <c r="AO16" s="772"/>
      <c r="AP16" s="772"/>
      <c r="AV16" s="676"/>
      <c r="AW16" s="676"/>
      <c r="AX16" s="676"/>
      <c r="AY16" s="676"/>
      <c r="AZ16" s="676"/>
      <c r="BA16" s="676"/>
      <c r="BB16" s="676"/>
      <c r="BC16" s="676"/>
      <c r="BD16" s="676"/>
    </row>
    <row r="17" spans="4:56" ht="14.9" customHeight="1" x14ac:dyDescent="0.35">
      <c r="D17" s="428" t="s">
        <v>1873</v>
      </c>
      <c r="E17" s="797" t="s">
        <v>119</v>
      </c>
      <c r="F17" s="879">
        <f>'Haver Pivoted'!GQ29</f>
        <v>205.6</v>
      </c>
      <c r="G17" s="782">
        <f>'Haver Pivoted'!GR29</f>
        <v>206.9</v>
      </c>
      <c r="H17" s="782">
        <f>'Haver Pivoted'!GS29</f>
        <v>231.9</v>
      </c>
      <c r="I17" s="782">
        <f>'Haver Pivoted'!GT29</f>
        <v>191.5</v>
      </c>
      <c r="J17" s="782">
        <f>'Haver Pivoted'!GU29</f>
        <v>199.6</v>
      </c>
      <c r="K17" s="782">
        <f>'Haver Pivoted'!GV29</f>
        <v>258.60000000000002</v>
      </c>
      <c r="L17" s="782">
        <f>'Haver Pivoted'!GW29</f>
        <v>251.2</v>
      </c>
      <c r="M17" s="782">
        <f>'Haver Pivoted'!GX29</f>
        <v>289.89999999999998</v>
      </c>
      <c r="N17" s="782">
        <f>'Haver Pivoted'!GY29</f>
        <v>343.9</v>
      </c>
      <c r="O17" s="782">
        <f>'Haver Pivoted'!GZ29</f>
        <v>344.5</v>
      </c>
      <c r="P17" s="782">
        <f>'Haver Pivoted'!HA29</f>
        <v>357.9</v>
      </c>
      <c r="Q17" s="782">
        <f>'Haver Pivoted'!HB29</f>
        <v>379.6</v>
      </c>
      <c r="R17" s="782">
        <f>'Haver Pivoted'!HC29</f>
        <v>417.1</v>
      </c>
      <c r="S17" s="782">
        <f>'Haver Pivoted'!HD29</f>
        <v>402.2</v>
      </c>
      <c r="T17" s="778">
        <f>'Haver Pivoted'!HE29</f>
        <v>406.9</v>
      </c>
      <c r="U17" s="778">
        <f>'Haver Pivoted'!HF29</f>
        <v>434.3</v>
      </c>
      <c r="V17" s="778">
        <f>'Haver Pivoted'!HG29</f>
        <v>429.4</v>
      </c>
      <c r="W17" s="778">
        <f>'Haver Pivoted'!HH29</f>
        <v>451.9</v>
      </c>
      <c r="X17" s="778">
        <f>'Haver Pivoted'!HI29</f>
        <v>464.8</v>
      </c>
      <c r="Y17" s="778">
        <f>'Haver Pivoted'!HJ29</f>
        <v>459.9</v>
      </c>
      <c r="Z17" s="778">
        <f>'Haver Pivoted'!HK29</f>
        <v>493.4</v>
      </c>
      <c r="AA17" s="778">
        <f>'Haver Pivoted'!HL29</f>
        <v>493.1</v>
      </c>
      <c r="AB17" s="778">
        <f>'Haver Pivoted'!HM29</f>
        <v>512.1</v>
      </c>
      <c r="AC17" s="778">
        <f>'Haver Pivoted'!HN29</f>
        <v>519.79999999999995</v>
      </c>
      <c r="AD17" s="816">
        <f>AC17*(1+$L42)^0.25+AD18</f>
        <v>536.91171391464616</v>
      </c>
      <c r="AE17" s="816">
        <f>AD17*(1+$L42)^0.25+AE18</f>
        <v>154.58674209073274</v>
      </c>
      <c r="AF17" s="816">
        <f t="shared" ref="AF17:AN17" si="4">AE17*(1+$M42)^0.25+AF18</f>
        <v>153.63157001132998</v>
      </c>
      <c r="AG17" s="816">
        <f t="shared" si="4"/>
        <v>410.98229982033581</v>
      </c>
      <c r="AH17" s="816">
        <f t="shared" si="4"/>
        <v>408.44289176626921</v>
      </c>
      <c r="AI17" s="816">
        <f t="shared" si="4"/>
        <v>405.91917439588383</v>
      </c>
      <c r="AJ17" s="816">
        <f t="shared" si="4"/>
        <v>403.41105075841432</v>
      </c>
      <c r="AK17" s="816">
        <f t="shared" si="4"/>
        <v>412.61842450214192</v>
      </c>
      <c r="AL17" s="816">
        <f t="shared" si="4"/>
        <v>410.06890703899313</v>
      </c>
      <c r="AM17" s="816">
        <f t="shared" si="4"/>
        <v>407.53514272429555</v>
      </c>
      <c r="AN17" s="816">
        <f t="shared" si="4"/>
        <v>405.01703422132192</v>
      </c>
      <c r="AO17" s="772"/>
      <c r="AP17" s="772"/>
      <c r="AV17" s="807"/>
      <c r="AW17" s="807"/>
      <c r="AX17" s="807"/>
      <c r="AY17" s="807"/>
      <c r="AZ17" s="807"/>
      <c r="BA17" s="807"/>
      <c r="BB17" s="807"/>
      <c r="BC17" s="807"/>
      <c r="BD17" s="807"/>
    </row>
    <row r="18" spans="4:56" ht="14.9" customHeight="1" x14ac:dyDescent="0.35">
      <c r="D18" s="1252" t="s">
        <v>2330</v>
      </c>
      <c r="E18" s="797"/>
      <c r="F18" s="879"/>
      <c r="G18" s="782"/>
      <c r="H18" s="782"/>
      <c r="I18" s="782"/>
      <c r="J18" s="782"/>
      <c r="K18" s="782"/>
      <c r="L18" s="782"/>
      <c r="M18" s="782"/>
      <c r="N18" s="782"/>
      <c r="O18" s="782"/>
      <c r="P18" s="782"/>
      <c r="Q18" s="782"/>
      <c r="R18" s="782"/>
      <c r="S18" s="782"/>
      <c r="T18" s="778"/>
      <c r="U18" s="778"/>
      <c r="V18" s="778"/>
      <c r="W18" s="778"/>
      <c r="X18" s="778"/>
      <c r="Y18" s="778"/>
      <c r="Z18" s="778"/>
      <c r="AA18" s="778"/>
      <c r="AB18" s="778"/>
      <c r="AC18" s="778"/>
      <c r="AD18" s="816"/>
      <c r="AE18" s="816">
        <f>-100*4</f>
        <v>-400</v>
      </c>
      <c r="AF18" s="816"/>
      <c r="AG18" s="816">
        <f>-141.7-AE18</f>
        <v>258.3</v>
      </c>
      <c r="AH18" s="816"/>
      <c r="AI18" s="816"/>
      <c r="AJ18" s="816"/>
      <c r="AK18" s="816">
        <f>-130-AE18-AG18</f>
        <v>11.699999999999989</v>
      </c>
      <c r="AL18" s="816"/>
      <c r="AM18" s="816"/>
      <c r="AN18" s="816"/>
      <c r="AO18" s="772"/>
      <c r="AP18" s="772"/>
      <c r="AV18" s="807"/>
      <c r="AW18" s="807"/>
      <c r="AX18" s="807"/>
      <c r="AY18" s="807"/>
      <c r="AZ18" s="807"/>
      <c r="BA18" s="807"/>
      <c r="BB18" s="807"/>
      <c r="BC18" s="807"/>
      <c r="BD18" s="807"/>
    </row>
    <row r="19" spans="4:56" ht="14.9" customHeight="1" x14ac:dyDescent="0.35">
      <c r="D19" s="428"/>
      <c r="E19" s="797"/>
      <c r="F19" s="879"/>
      <c r="G19" s="782"/>
      <c r="H19" s="782"/>
      <c r="I19" s="782"/>
      <c r="J19" s="782"/>
      <c r="K19" s="782"/>
      <c r="L19" s="782"/>
      <c r="M19" s="782"/>
      <c r="N19" s="782"/>
      <c r="O19" s="782"/>
      <c r="P19" s="782"/>
      <c r="Q19" s="782"/>
      <c r="R19" s="782"/>
      <c r="S19" s="782"/>
      <c r="T19" s="782"/>
      <c r="U19" s="782"/>
      <c r="V19" s="782"/>
      <c r="W19" s="782"/>
      <c r="X19" s="812"/>
      <c r="Y19" s="812"/>
      <c r="Z19" s="812"/>
      <c r="AA19" s="812"/>
      <c r="AB19" s="812"/>
      <c r="AC19" s="812"/>
      <c r="AD19" s="812"/>
      <c r="AE19" s="812"/>
      <c r="AF19" s="812"/>
      <c r="AG19" s="812"/>
      <c r="AH19" s="812"/>
      <c r="AI19" s="812"/>
      <c r="AJ19" s="812"/>
      <c r="AK19" s="772"/>
      <c r="AL19" s="772"/>
      <c r="AM19" s="772"/>
      <c r="AN19" s="772"/>
      <c r="AO19" s="772"/>
      <c r="AP19" s="772"/>
      <c r="AV19" s="807"/>
      <c r="AW19" s="807"/>
      <c r="AX19" s="807"/>
      <c r="AY19" s="807"/>
      <c r="AZ19" s="807"/>
      <c r="BA19" s="807"/>
      <c r="BB19" s="807"/>
      <c r="BC19" s="807"/>
      <c r="BD19" s="807"/>
    </row>
    <row r="20" spans="4:56" x14ac:dyDescent="0.35">
      <c r="D20" s="885" t="s">
        <v>471</v>
      </c>
      <c r="E20" s="846"/>
      <c r="F20" s="829"/>
      <c r="G20" s="824"/>
      <c r="H20" s="824"/>
      <c r="I20" s="824"/>
      <c r="J20" s="824"/>
      <c r="K20" s="824"/>
      <c r="L20" s="824"/>
      <c r="M20" s="824"/>
      <c r="N20" s="824"/>
      <c r="O20" s="824"/>
      <c r="P20" s="824"/>
      <c r="Q20" s="824"/>
      <c r="R20" s="824"/>
      <c r="S20" s="824"/>
      <c r="T20" s="824"/>
      <c r="U20" s="888"/>
      <c r="V20" s="824"/>
      <c r="W20" s="824"/>
      <c r="X20" s="824"/>
      <c r="Y20" s="824"/>
      <c r="Z20" s="824"/>
      <c r="AA20" s="824"/>
      <c r="AB20" s="824"/>
      <c r="AC20" s="824"/>
      <c r="AF20" s="772"/>
      <c r="AG20" s="772"/>
      <c r="AH20" s="772"/>
      <c r="AI20" s="772"/>
      <c r="AJ20" s="772"/>
      <c r="AK20" s="772"/>
      <c r="AL20" s="772"/>
      <c r="AM20" s="772"/>
      <c r="AN20" s="772"/>
      <c r="AO20" s="772"/>
      <c r="AP20" s="772"/>
    </row>
    <row r="21" spans="4:56" ht="14.9" customHeight="1" x14ac:dyDescent="0.35">
      <c r="D21" s="806" t="s">
        <v>479</v>
      </c>
      <c r="E21" s="798"/>
      <c r="F21" s="879">
        <f t="shared" ref="F21:P21" si="5">SUM(F23:F26)</f>
        <v>1902.8</v>
      </c>
      <c r="G21" s="782">
        <f t="shared" si="5"/>
        <v>1893</v>
      </c>
      <c r="H21" s="782">
        <f t="shared" si="5"/>
        <v>1884.1999999999998</v>
      </c>
      <c r="I21" s="782">
        <f t="shared" si="5"/>
        <v>1885.8999999999999</v>
      </c>
      <c r="J21" s="782">
        <f t="shared" si="5"/>
        <v>1793.2</v>
      </c>
      <c r="K21" s="782">
        <f t="shared" si="5"/>
        <v>1921.7</v>
      </c>
      <c r="L21" s="782">
        <f t="shared" si="5"/>
        <v>1960.7</v>
      </c>
      <c r="M21" s="782">
        <f t="shared" si="5"/>
        <v>2016.5</v>
      </c>
      <c r="N21" s="782">
        <f t="shared" si="5"/>
        <v>2132.4</v>
      </c>
      <c r="O21" s="782">
        <f t="shared" si="5"/>
        <v>2137.3000000000002</v>
      </c>
      <c r="P21" s="782">
        <f t="shared" si="5"/>
        <v>2201.5</v>
      </c>
      <c r="Q21" s="782">
        <f>SUM(Q22:Q26)</f>
        <v>2285.4</v>
      </c>
      <c r="R21" s="782">
        <f>SUM(R22:R26)</f>
        <v>2360.4</v>
      </c>
      <c r="S21" s="782">
        <f>SUM(S22:S26)</f>
        <v>2287.5</v>
      </c>
      <c r="T21" s="782">
        <f>SUM(T22:T26)</f>
        <v>2306.3000000000002</v>
      </c>
      <c r="U21" s="782">
        <f>SUM(U23:U26)</f>
        <v>2296.6</v>
      </c>
      <c r="V21" s="782">
        <f>SUM(V22:V26)</f>
        <v>2311.5</v>
      </c>
      <c r="W21" s="782">
        <f t="shared" ref="W21:AN21" si="6">SUM(W22,W23,W25,W26)</f>
        <v>2350.6999999999998</v>
      </c>
      <c r="X21" s="782">
        <f t="shared" si="6"/>
        <v>2379.1999999999998</v>
      </c>
      <c r="Y21" s="818">
        <f t="shared" si="6"/>
        <v>2395.3000000000002</v>
      </c>
      <c r="Z21" s="818">
        <f t="shared" si="6"/>
        <v>2439</v>
      </c>
      <c r="AA21" s="818">
        <f t="shared" si="6"/>
        <v>2477.5</v>
      </c>
      <c r="AB21" s="818">
        <f t="shared" si="6"/>
        <v>2519.8000000000002</v>
      </c>
      <c r="AC21" s="818">
        <f t="shared" si="6"/>
        <v>2550.5</v>
      </c>
      <c r="AD21" s="818">
        <f t="shared" si="6"/>
        <v>2571.0688033993706</v>
      </c>
      <c r="AE21" s="818">
        <f t="shared" si="6"/>
        <v>2598.178261360134</v>
      </c>
      <c r="AF21" s="818">
        <f t="shared" si="6"/>
        <v>2624.8819972445235</v>
      </c>
      <c r="AG21" s="818">
        <f t="shared" si="6"/>
        <v>2649.4405312925719</v>
      </c>
      <c r="AH21" s="818">
        <f t="shared" si="6"/>
        <v>2674.9894129442418</v>
      </c>
      <c r="AI21" s="818">
        <f t="shared" si="6"/>
        <v>2698.3122414077561</v>
      </c>
      <c r="AJ21" s="818">
        <f t="shared" si="6"/>
        <v>2723.5733367491875</v>
      </c>
      <c r="AK21" s="818">
        <f t="shared" si="6"/>
        <v>2750.2680865633192</v>
      </c>
      <c r="AL21" s="818">
        <f t="shared" si="6"/>
        <v>2774.9190886686611</v>
      </c>
      <c r="AM21" s="818">
        <f t="shared" si="6"/>
        <v>2799.8093172437111</v>
      </c>
      <c r="AN21" s="818">
        <f t="shared" si="6"/>
        <v>2826.0924037133846</v>
      </c>
      <c r="AO21" s="772"/>
      <c r="AP21" s="772"/>
    </row>
    <row r="22" spans="4:56" ht="42" customHeight="1" x14ac:dyDescent="0.35">
      <c r="D22" s="803" t="s">
        <v>825</v>
      </c>
      <c r="E22" s="798"/>
      <c r="F22" s="879"/>
      <c r="G22" s="782"/>
      <c r="H22" s="782"/>
      <c r="I22" s="782"/>
      <c r="J22" s="782"/>
      <c r="K22" s="782"/>
      <c r="L22" s="782"/>
      <c r="M22" s="782"/>
      <c r="N22" s="782"/>
      <c r="O22" s="782"/>
      <c r="P22" s="782"/>
      <c r="Q22" s="408"/>
      <c r="R22" s="408"/>
      <c r="S22" s="408"/>
      <c r="T22" s="408"/>
      <c r="U22" s="408">
        <v>0</v>
      </c>
      <c r="V22" s="408"/>
      <c r="W22" s="408"/>
      <c r="X22" s="408"/>
      <c r="Y22" s="358"/>
      <c r="Z22" s="358"/>
      <c r="AA22" s="358"/>
      <c r="AB22" s="358"/>
      <c r="AC22" s="358"/>
      <c r="AD22" s="358"/>
      <c r="AE22" s="358"/>
      <c r="AF22" s="358"/>
      <c r="AG22" s="358"/>
      <c r="AH22" s="358"/>
      <c r="AI22" s="358"/>
      <c r="AJ22" s="358"/>
      <c r="AK22" s="358"/>
      <c r="AL22" s="358"/>
      <c r="AM22" s="358"/>
      <c r="AN22" s="358"/>
      <c r="AO22" s="772"/>
      <c r="AP22" s="772"/>
    </row>
    <row r="23" spans="4:56" x14ac:dyDescent="0.35">
      <c r="D23" s="529" t="s">
        <v>484</v>
      </c>
      <c r="E23" s="36" t="s">
        <v>485</v>
      </c>
      <c r="F23" s="775">
        <f>'Haver Pivoted'!GQ33</f>
        <v>531</v>
      </c>
      <c r="G23" s="856">
        <f>'Haver Pivoted'!GR33</f>
        <v>495.6</v>
      </c>
      <c r="H23" s="856">
        <f>'Haver Pivoted'!GS33</f>
        <v>490.1</v>
      </c>
      <c r="I23" s="856">
        <f>'Haver Pivoted'!GT33</f>
        <v>492.5</v>
      </c>
      <c r="J23" s="856">
        <f>'Haver Pivoted'!GU33</f>
        <v>485.2</v>
      </c>
      <c r="K23" s="856">
        <f>'Haver Pivoted'!GV33</f>
        <v>511.6</v>
      </c>
      <c r="L23" s="856">
        <f>'Haver Pivoted'!GW33</f>
        <v>528.4</v>
      </c>
      <c r="M23" s="856">
        <f>'Haver Pivoted'!GX33</f>
        <v>559</v>
      </c>
      <c r="N23" s="856">
        <f>'Haver Pivoted'!GY33</f>
        <v>586.1</v>
      </c>
      <c r="O23" s="856">
        <f>'Haver Pivoted'!GZ33</f>
        <v>576.4</v>
      </c>
      <c r="P23" s="856">
        <f>'Haver Pivoted'!HA33</f>
        <v>599.1</v>
      </c>
      <c r="Q23" s="856">
        <f>'Haver Pivoted'!HB33</f>
        <v>656.7</v>
      </c>
      <c r="R23" s="856">
        <f>'Haver Pivoted'!HC33</f>
        <v>693.1</v>
      </c>
      <c r="S23" s="856">
        <f>'Haver Pivoted'!HD33</f>
        <v>596.6</v>
      </c>
      <c r="T23" s="814">
        <f>'Haver Pivoted'!HE33</f>
        <v>607.6</v>
      </c>
      <c r="U23" s="814">
        <f>'Haver Pivoted'!HF33</f>
        <v>578</v>
      </c>
      <c r="V23" s="814">
        <f>'Haver Pivoted'!HG33</f>
        <v>581.6</v>
      </c>
      <c r="W23" s="814">
        <f>'Haver Pivoted'!HH33</f>
        <v>605.5</v>
      </c>
      <c r="X23" s="814">
        <f>'Haver Pivoted'!HI33</f>
        <v>612.1</v>
      </c>
      <c r="Y23" s="814">
        <f>'Haver Pivoted'!HJ33</f>
        <v>609.5</v>
      </c>
      <c r="Z23" s="814">
        <f>'Haver Pivoted'!HK33</f>
        <v>630</v>
      </c>
      <c r="AA23" s="814">
        <f>'Haver Pivoted'!HL33</f>
        <v>655.5</v>
      </c>
      <c r="AB23" s="814">
        <f>'Haver Pivoted'!HM33</f>
        <v>670.5</v>
      </c>
      <c r="AC23" s="814">
        <f>'Haver Pivoted'!HN33</f>
        <v>677.6</v>
      </c>
      <c r="AD23" s="759">
        <f>$AC127*AD136*(AD109/$AC109)+AD22+AD24</f>
        <v>676.19850869016921</v>
      </c>
      <c r="AE23" s="759">
        <f t="shared" ref="AE23:AN23" si="7">$AC127*AE136*(AE109/$AC109)+AE22+AE24</f>
        <v>684.46295301277473</v>
      </c>
      <c r="AF23" s="759">
        <f t="shared" si="7"/>
        <v>692.96719118372698</v>
      </c>
      <c r="AG23" s="759">
        <f t="shared" si="7"/>
        <v>700.91753933877931</v>
      </c>
      <c r="AH23" s="759">
        <f t="shared" si="7"/>
        <v>708.55716870442438</v>
      </c>
      <c r="AI23" s="759">
        <f t="shared" si="7"/>
        <v>716.19004331377789</v>
      </c>
      <c r="AJ23" s="759">
        <f t="shared" si="7"/>
        <v>723.72159657875966</v>
      </c>
      <c r="AK23" s="759">
        <f t="shared" si="7"/>
        <v>731.5672460112944</v>
      </c>
      <c r="AL23" s="759">
        <f t="shared" si="7"/>
        <v>739.36561214978883</v>
      </c>
      <c r="AM23" s="759">
        <f t="shared" si="7"/>
        <v>747.35311146444417</v>
      </c>
      <c r="AN23" s="759">
        <f t="shared" si="7"/>
        <v>755.53649871155199</v>
      </c>
      <c r="AO23" s="772"/>
      <c r="AP23" s="772"/>
    </row>
    <row r="24" spans="4:56" x14ac:dyDescent="0.35">
      <c r="D24" s="529" t="s">
        <v>1881</v>
      </c>
      <c r="E24" s="36"/>
      <c r="F24" s="775"/>
      <c r="G24" s="856"/>
      <c r="H24" s="856"/>
      <c r="I24" s="856"/>
      <c r="J24" s="856"/>
      <c r="K24" s="856"/>
      <c r="L24" s="856"/>
      <c r="M24" s="856"/>
      <c r="N24" s="856"/>
      <c r="O24" s="856"/>
      <c r="P24" s="856"/>
      <c r="Q24" s="856"/>
      <c r="R24" s="856"/>
      <c r="S24" s="856"/>
      <c r="T24" s="856"/>
      <c r="U24" s="856"/>
      <c r="V24" s="856"/>
      <c r="W24" s="856">
        <v>20</v>
      </c>
      <c r="X24" s="856">
        <v>20</v>
      </c>
      <c r="Y24" s="759">
        <v>0</v>
      </c>
      <c r="Z24" s="759">
        <f>-24</f>
        <v>-24</v>
      </c>
      <c r="AA24" s="759">
        <f>-11</f>
        <v>-11</v>
      </c>
      <c r="AB24" s="759">
        <f>-11</f>
        <v>-11</v>
      </c>
      <c r="AC24" s="759">
        <f t="shared" ref="AC24:AN24" si="8">-11</f>
        <v>-11</v>
      </c>
      <c r="AD24" s="759">
        <f t="shared" si="8"/>
        <v>-11</v>
      </c>
      <c r="AE24" s="759">
        <f t="shared" si="8"/>
        <v>-11</v>
      </c>
      <c r="AF24" s="759">
        <f t="shared" si="8"/>
        <v>-11</v>
      </c>
      <c r="AG24" s="759">
        <f>-11</f>
        <v>-11</v>
      </c>
      <c r="AH24" s="759">
        <f t="shared" si="8"/>
        <v>-11</v>
      </c>
      <c r="AI24" s="759">
        <f t="shared" si="8"/>
        <v>-11</v>
      </c>
      <c r="AJ24" s="759">
        <f t="shared" si="8"/>
        <v>-11</v>
      </c>
      <c r="AK24" s="759">
        <f t="shared" si="8"/>
        <v>-11</v>
      </c>
      <c r="AL24" s="759">
        <f t="shared" si="8"/>
        <v>-11</v>
      </c>
      <c r="AM24" s="759">
        <f t="shared" si="8"/>
        <v>-11</v>
      </c>
      <c r="AN24" s="759">
        <f t="shared" si="8"/>
        <v>-11</v>
      </c>
      <c r="AO24" s="772"/>
      <c r="AP24" s="772"/>
    </row>
    <row r="25" spans="4:56" x14ac:dyDescent="0.35">
      <c r="D25" s="529" t="s">
        <v>481</v>
      </c>
      <c r="E25" s="36" t="s">
        <v>486</v>
      </c>
      <c r="F25" s="775">
        <f>'Haver Pivoted'!GQ36</f>
        <v>20.8</v>
      </c>
      <c r="G25" s="856">
        <f>'Haver Pivoted'!GR36</f>
        <v>20.6</v>
      </c>
      <c r="H25" s="856">
        <f>'Haver Pivoted'!GS36</f>
        <v>20.5</v>
      </c>
      <c r="I25" s="856">
        <f>'Haver Pivoted'!GT36</f>
        <v>20.3</v>
      </c>
      <c r="J25" s="856">
        <f>'Haver Pivoted'!GU36</f>
        <v>19.3</v>
      </c>
      <c r="K25" s="856">
        <f>'Haver Pivoted'!GV36</f>
        <v>19.899999999999999</v>
      </c>
      <c r="L25" s="856">
        <f>'Haver Pivoted'!GW36</f>
        <v>20.6</v>
      </c>
      <c r="M25" s="856">
        <f>'Haver Pivoted'!GX36</f>
        <v>21.3</v>
      </c>
      <c r="N25" s="856">
        <f>'Haver Pivoted'!GY36</f>
        <v>22</v>
      </c>
      <c r="O25" s="856">
        <f>'Haver Pivoted'!GZ36</f>
        <v>22.6</v>
      </c>
      <c r="P25" s="856">
        <f>'Haver Pivoted'!HA36</f>
        <v>23.1</v>
      </c>
      <c r="Q25" s="856">
        <f>'Haver Pivoted'!HB36</f>
        <v>23.4</v>
      </c>
      <c r="R25" s="856">
        <f>'Haver Pivoted'!HC36</f>
        <v>23.1</v>
      </c>
      <c r="S25" s="856">
        <f>'Haver Pivoted'!HD36</f>
        <v>22.7</v>
      </c>
      <c r="T25" s="814">
        <f>'Haver Pivoted'!HE36</f>
        <v>21.8</v>
      </c>
      <c r="U25" s="814">
        <f>'Haver Pivoted'!HF36</f>
        <v>20.8</v>
      </c>
      <c r="V25" s="814">
        <f>'Haver Pivoted'!HG36</f>
        <v>20.5</v>
      </c>
      <c r="W25" s="814">
        <f>'Haver Pivoted'!HH36</f>
        <v>21.2</v>
      </c>
      <c r="X25" s="814">
        <f>'Haver Pivoted'!HI36</f>
        <v>22.8</v>
      </c>
      <c r="Y25" s="814">
        <f>'Haver Pivoted'!HJ36</f>
        <v>25</v>
      </c>
      <c r="Z25" s="814">
        <f>'Haver Pivoted'!HK36</f>
        <v>26.7</v>
      </c>
      <c r="AA25" s="814">
        <f>'Haver Pivoted'!HL36</f>
        <v>27.5</v>
      </c>
      <c r="AB25" s="814">
        <f>'Haver Pivoted'!HM36</f>
        <v>27.6</v>
      </c>
      <c r="AC25" s="814">
        <f>'Haver Pivoted'!HN36</f>
        <v>27</v>
      </c>
      <c r="AD25" s="759">
        <f>$AC128*AD137*(AD110/$AC110)</f>
        <v>27.338548062858351</v>
      </c>
      <c r="AE25" s="759">
        <f t="shared" ref="AE25:AN25" si="9">$AC128*AE137*(AE110/$AC110)</f>
        <v>27.673083391347202</v>
      </c>
      <c r="AF25" s="759">
        <f t="shared" si="9"/>
        <v>28.004450771649601</v>
      </c>
      <c r="AG25" s="759">
        <f t="shared" si="9"/>
        <v>28.318711231745191</v>
      </c>
      <c r="AH25" s="759">
        <f t="shared" si="9"/>
        <v>28.622200668006851</v>
      </c>
      <c r="AI25" s="759">
        <f t="shared" si="9"/>
        <v>28.922944549173597</v>
      </c>
      <c r="AJ25" s="759">
        <f t="shared" si="9"/>
        <v>29.218619713242024</v>
      </c>
      <c r="AK25" s="759">
        <f t="shared" si="9"/>
        <v>29.52105316677487</v>
      </c>
      <c r="AL25" s="759">
        <f t="shared" si="9"/>
        <v>29.826443371948407</v>
      </c>
      <c r="AM25" s="759">
        <f t="shared" si="9"/>
        <v>30.136691097674493</v>
      </c>
      <c r="AN25" s="759">
        <f t="shared" si="9"/>
        <v>30.449684378495505</v>
      </c>
      <c r="AO25" s="772"/>
      <c r="AP25" s="772"/>
    </row>
    <row r="26" spans="4:56" x14ac:dyDescent="0.35">
      <c r="D26" s="529" t="s">
        <v>482</v>
      </c>
      <c r="E26" s="36" t="s">
        <v>487</v>
      </c>
      <c r="F26" s="775">
        <f>'Haver Pivoted'!GQ34</f>
        <v>1351</v>
      </c>
      <c r="G26" s="856">
        <f>'Haver Pivoted'!GR34</f>
        <v>1376.8</v>
      </c>
      <c r="H26" s="856">
        <f>'Haver Pivoted'!GS34</f>
        <v>1373.6</v>
      </c>
      <c r="I26" s="856">
        <f>'Haver Pivoted'!GT34</f>
        <v>1373.1</v>
      </c>
      <c r="J26" s="856">
        <f>'Haver Pivoted'!GU34</f>
        <v>1288.7</v>
      </c>
      <c r="K26" s="856">
        <f>'Haver Pivoted'!GV34</f>
        <v>1390.2</v>
      </c>
      <c r="L26" s="856">
        <f>'Haver Pivoted'!GW34</f>
        <v>1411.7</v>
      </c>
      <c r="M26" s="856">
        <f>'Haver Pivoted'!GX34</f>
        <v>1436.2</v>
      </c>
      <c r="N26" s="856">
        <f>'Haver Pivoted'!GY34</f>
        <v>1524.3</v>
      </c>
      <c r="O26" s="856">
        <f>'Haver Pivoted'!GZ34</f>
        <v>1538.3</v>
      </c>
      <c r="P26" s="856">
        <f>'Haver Pivoted'!HA34</f>
        <v>1579.3</v>
      </c>
      <c r="Q26" s="856">
        <f>'Haver Pivoted'!HB34</f>
        <v>1605.3</v>
      </c>
      <c r="R26" s="856">
        <f>'Haver Pivoted'!HC34</f>
        <v>1644.2</v>
      </c>
      <c r="S26" s="856">
        <f>'Haver Pivoted'!HD34</f>
        <v>1668.2</v>
      </c>
      <c r="T26" s="814">
        <f>'Haver Pivoted'!HE34</f>
        <v>1676.9</v>
      </c>
      <c r="U26" s="814">
        <f>'Haver Pivoted'!HF34</f>
        <v>1697.8</v>
      </c>
      <c r="V26" s="814">
        <f>'Haver Pivoted'!HG34</f>
        <v>1709.4</v>
      </c>
      <c r="W26" s="814">
        <f>'Haver Pivoted'!HH34</f>
        <v>1724</v>
      </c>
      <c r="X26" s="814">
        <f>'Haver Pivoted'!HI34</f>
        <v>1744.3</v>
      </c>
      <c r="Y26" s="814">
        <f>'Haver Pivoted'!HJ34</f>
        <v>1760.8</v>
      </c>
      <c r="Z26" s="814">
        <f>'Haver Pivoted'!HK34</f>
        <v>1782.3</v>
      </c>
      <c r="AA26" s="814">
        <f>'Haver Pivoted'!HL34</f>
        <v>1794.5</v>
      </c>
      <c r="AB26" s="814">
        <f>'Haver Pivoted'!HM34</f>
        <v>1821.7</v>
      </c>
      <c r="AC26" s="814">
        <f>'Haver Pivoted'!HN34</f>
        <v>1845.9</v>
      </c>
      <c r="AD26" s="759">
        <f>$AC133*AD138*(AD112/$AC112)</f>
        <v>1867.5317466463432</v>
      </c>
      <c r="AE26" s="759">
        <f t="shared" ref="AE26:AN26" si="10">$AC133*AE138*(AE112/$AC112)</f>
        <v>1886.042224956012</v>
      </c>
      <c r="AF26" s="759">
        <f t="shared" si="10"/>
        <v>1903.9103552891472</v>
      </c>
      <c r="AG26" s="759">
        <f t="shared" si="10"/>
        <v>1920.2042807220475</v>
      </c>
      <c r="AH26" s="759">
        <f t="shared" si="10"/>
        <v>1937.8100435718104</v>
      </c>
      <c r="AI26" s="759">
        <f t="shared" si="10"/>
        <v>1953.1992535448046</v>
      </c>
      <c r="AJ26" s="759">
        <f t="shared" si="10"/>
        <v>1970.6331204571859</v>
      </c>
      <c r="AK26" s="759">
        <f t="shared" si="10"/>
        <v>1989.1797873852502</v>
      </c>
      <c r="AL26" s="759">
        <f t="shared" si="10"/>
        <v>2005.727033146924</v>
      </c>
      <c r="AM26" s="759">
        <f t="shared" si="10"/>
        <v>2022.3195146815926</v>
      </c>
      <c r="AN26" s="759">
        <f t="shared" si="10"/>
        <v>2040.1062206233369</v>
      </c>
      <c r="AO26" s="772"/>
      <c r="AP26" s="772"/>
    </row>
    <row r="27" spans="4:56" ht="14.9" customHeight="1" x14ac:dyDescent="0.35">
      <c r="D27" s="808" t="s">
        <v>483</v>
      </c>
      <c r="E27" s="830" t="s">
        <v>488</v>
      </c>
      <c r="F27" s="880">
        <f>'Haver Pivoted'!GQ35</f>
        <v>76.8</v>
      </c>
      <c r="G27" s="894">
        <f>'Haver Pivoted'!GR35</f>
        <v>74.099999999999994</v>
      </c>
      <c r="H27" s="894">
        <f>'Haver Pivoted'!GS35</f>
        <v>70.3</v>
      </c>
      <c r="I27" s="894">
        <f>'Haver Pivoted'!GT35</f>
        <v>64.5</v>
      </c>
      <c r="J27" s="894">
        <f>'Haver Pivoted'!GU35</f>
        <v>66.400000000000006</v>
      </c>
      <c r="K27" s="894">
        <f>'Haver Pivoted'!GV35</f>
        <v>81.5</v>
      </c>
      <c r="L27" s="894">
        <f>'Haver Pivoted'!GW35</f>
        <v>82.4</v>
      </c>
      <c r="M27" s="894">
        <f>'Haver Pivoted'!GX35</f>
        <v>83.1</v>
      </c>
      <c r="N27" s="894">
        <f>'Haver Pivoted'!GY35</f>
        <v>93.7</v>
      </c>
      <c r="O27" s="894">
        <f>'Haver Pivoted'!GZ35</f>
        <v>119.3</v>
      </c>
      <c r="P27" s="894">
        <f>'Haver Pivoted'!HA35</f>
        <v>168.1</v>
      </c>
      <c r="Q27" s="894">
        <f>'Haver Pivoted'!HB35</f>
        <v>170.8</v>
      </c>
      <c r="R27" s="894">
        <f>'Haver Pivoted'!HC35</f>
        <v>157.6</v>
      </c>
      <c r="S27" s="894">
        <f>'Haver Pivoted'!HD35</f>
        <v>159.1</v>
      </c>
      <c r="T27" s="896">
        <f>'Haver Pivoted'!HE35</f>
        <v>162.19999999999999</v>
      </c>
      <c r="U27" s="817">
        <f>'Haver Pivoted'!HF35</f>
        <v>158.69999999999999</v>
      </c>
      <c r="V27" s="817">
        <f>'Haver Pivoted'!HG35</f>
        <v>162.4</v>
      </c>
      <c r="W27" s="817">
        <f>'Haver Pivoted'!HH35</f>
        <v>165.9</v>
      </c>
      <c r="X27" s="817">
        <f>'Haver Pivoted'!HI35</f>
        <v>166.9</v>
      </c>
      <c r="Y27" s="817">
        <f>'Haver Pivoted'!HJ35</f>
        <v>170.4</v>
      </c>
      <c r="Z27" s="817">
        <f>'Haver Pivoted'!HK35</f>
        <v>164</v>
      </c>
      <c r="AA27" s="817">
        <f>'Haver Pivoted'!HL35</f>
        <v>162.6</v>
      </c>
      <c r="AB27" s="817">
        <f>'Haver Pivoted'!HM35</f>
        <v>164.2</v>
      </c>
      <c r="AC27" s="817">
        <f>'Haver Pivoted'!HN35</f>
        <v>174.7</v>
      </c>
      <c r="AD27" s="895">
        <f t="shared" ref="AD27:AJ27" si="11">$Y134*AD139*(AD113/$Y113)</f>
        <v>172.29451851420589</v>
      </c>
      <c r="AE27" s="895">
        <f t="shared" si="11"/>
        <v>172.4420004657662</v>
      </c>
      <c r="AF27" s="895">
        <f t="shared" si="11"/>
        <v>172.35554552864465</v>
      </c>
      <c r="AG27" s="895">
        <f t="shared" si="11"/>
        <v>172.5640544946437</v>
      </c>
      <c r="AH27" s="895">
        <f t="shared" si="11"/>
        <v>172.90478865859339</v>
      </c>
      <c r="AI27" s="895">
        <f t="shared" si="11"/>
        <v>172.73187878435027</v>
      </c>
      <c r="AJ27" s="895">
        <f t="shared" si="11"/>
        <v>172.94038775034934</v>
      </c>
      <c r="AK27" s="895">
        <f t="shared" ref="AK27:AN27" si="12">$Y134*AK139*(AK113/$Y113)</f>
        <v>172.60982475547277</v>
      </c>
      <c r="AL27" s="895">
        <f t="shared" si="12"/>
        <v>171.97412668840244</v>
      </c>
      <c r="AM27" s="895">
        <f t="shared" si="12"/>
        <v>171.22654576152775</v>
      </c>
      <c r="AN27" s="895">
        <f t="shared" si="12"/>
        <v>171.36385654401494</v>
      </c>
      <c r="AO27" s="772"/>
      <c r="AP27" s="772"/>
    </row>
    <row r="28" spans="4:56" ht="14.9" customHeight="1" x14ac:dyDescent="0.35">
      <c r="D28" s="848" t="s">
        <v>1883</v>
      </c>
      <c r="E28" s="798"/>
      <c r="F28" s="503">
        <f t="shared" ref="F28:AN28" si="13">F9+F21</f>
        <v>5162.2</v>
      </c>
      <c r="G28" s="503">
        <f t="shared" si="13"/>
        <v>5179.8999999999996</v>
      </c>
      <c r="H28" s="503">
        <f t="shared" si="13"/>
        <v>5227.3999999999996</v>
      </c>
      <c r="I28" s="503">
        <f t="shared" si="13"/>
        <v>5278.4</v>
      </c>
      <c r="J28" s="503">
        <f t="shared" si="13"/>
        <v>4928.3</v>
      </c>
      <c r="K28" s="503">
        <f t="shared" si="13"/>
        <v>5240.6000000000004</v>
      </c>
      <c r="L28" s="503">
        <f t="shared" si="13"/>
        <v>5439</v>
      </c>
      <c r="M28" s="503">
        <f t="shared" si="13"/>
        <v>5654.6</v>
      </c>
      <c r="N28" s="503">
        <f t="shared" si="13"/>
        <v>5924.9</v>
      </c>
      <c r="O28" s="503">
        <f t="shared" si="13"/>
        <v>6053.7000000000007</v>
      </c>
      <c r="P28" s="503">
        <f t="shared" si="13"/>
        <v>6248.8</v>
      </c>
      <c r="Q28" s="503">
        <f t="shared" si="13"/>
        <v>6732.8000000000011</v>
      </c>
      <c r="R28" s="503">
        <f t="shared" si="13"/>
        <v>6839.6</v>
      </c>
      <c r="S28" s="503">
        <f t="shared" si="13"/>
        <v>6829.3</v>
      </c>
      <c r="T28" s="503">
        <f t="shared" si="13"/>
        <v>6821.9000000000005</v>
      </c>
      <c r="U28" s="503">
        <f t="shared" si="13"/>
        <v>6493.7999999999993</v>
      </c>
      <c r="V28" s="503">
        <f t="shared" si="13"/>
        <v>6524</v>
      </c>
      <c r="W28" s="503">
        <f t="shared" si="13"/>
        <v>6601.4</v>
      </c>
      <c r="X28" s="503">
        <f t="shared" si="13"/>
        <v>6666.9</v>
      </c>
      <c r="Y28" s="656">
        <f t="shared" si="13"/>
        <v>6792.7</v>
      </c>
      <c r="Z28" s="656">
        <f t="shared" si="13"/>
        <v>6856.2</v>
      </c>
      <c r="AA28" s="656">
        <f t="shared" si="13"/>
        <v>6934</v>
      </c>
      <c r="AB28" s="656">
        <f t="shared" si="13"/>
        <v>7052.7</v>
      </c>
      <c r="AC28" s="656">
        <f t="shared" si="13"/>
        <v>7191.2</v>
      </c>
      <c r="AD28" s="656">
        <f t="shared" si="13"/>
        <v>7280.8868650196582</v>
      </c>
      <c r="AE28" s="656">
        <f t="shared" si="13"/>
        <v>7331.5697274987979</v>
      </c>
      <c r="AF28" s="656">
        <f t="shared" si="13"/>
        <v>7382.0663065643203</v>
      </c>
      <c r="AG28" s="656">
        <f t="shared" si="13"/>
        <v>7380.1871357499531</v>
      </c>
      <c r="AH28" s="656">
        <f t="shared" si="13"/>
        <v>7438.1819366892742</v>
      </c>
      <c r="AI28" s="656">
        <f t="shared" si="13"/>
        <v>7494.3265523339678</v>
      </c>
      <c r="AJ28" s="656">
        <f t="shared" si="13"/>
        <v>7552.7876915010247</v>
      </c>
      <c r="AK28" s="656">
        <f t="shared" si="13"/>
        <v>7710.2400518161912</v>
      </c>
      <c r="AL28" s="656">
        <f t="shared" si="13"/>
        <v>7760.4995717619795</v>
      </c>
      <c r="AM28" s="656">
        <f t="shared" si="13"/>
        <v>7811.2220584085799</v>
      </c>
      <c r="AN28" s="656">
        <f t="shared" si="13"/>
        <v>7863.5614155924604</v>
      </c>
    </row>
    <row r="29" spans="4:56" ht="14.9" customHeight="1" x14ac:dyDescent="0.35">
      <c r="D29" s="848" t="s">
        <v>1900</v>
      </c>
      <c r="E29" s="798"/>
      <c r="F29" s="503">
        <f t="shared" ref="F29:AN29" si="14">F10+F23</f>
        <v>2217.6999999999998</v>
      </c>
      <c r="G29" s="503">
        <f t="shared" si="14"/>
        <v>2195.4</v>
      </c>
      <c r="H29" s="503">
        <f t="shared" si="14"/>
        <v>2226.3000000000002</v>
      </c>
      <c r="I29" s="503">
        <f t="shared" si="14"/>
        <v>2247.6999999999998</v>
      </c>
      <c r="J29" s="503">
        <f t="shared" si="14"/>
        <v>2107.2999999999997</v>
      </c>
      <c r="K29" s="503">
        <f t="shared" si="14"/>
        <v>2248.1999999999998</v>
      </c>
      <c r="L29" s="503">
        <f t="shared" si="14"/>
        <v>2377.8000000000002</v>
      </c>
      <c r="M29" s="503">
        <f t="shared" si="14"/>
        <v>2547.6999999999998</v>
      </c>
      <c r="N29" s="503">
        <f t="shared" si="14"/>
        <v>2675.6</v>
      </c>
      <c r="O29" s="503">
        <f t="shared" si="14"/>
        <v>2750</v>
      </c>
      <c r="P29" s="503">
        <f t="shared" si="14"/>
        <v>2847.1</v>
      </c>
      <c r="Q29" s="503">
        <f t="shared" si="14"/>
        <v>3254.1000000000004</v>
      </c>
      <c r="R29" s="503">
        <f t="shared" si="14"/>
        <v>3297.4</v>
      </c>
      <c r="S29" s="503">
        <f t="shared" si="14"/>
        <v>3224.9</v>
      </c>
      <c r="T29" s="503">
        <f t="shared" si="14"/>
        <v>3203.2999999999997</v>
      </c>
      <c r="U29" s="503">
        <f t="shared" si="14"/>
        <v>2834.3</v>
      </c>
      <c r="V29" s="503">
        <f t="shared" si="14"/>
        <v>2828.4</v>
      </c>
      <c r="W29" s="503">
        <f t="shared" si="14"/>
        <v>2866</v>
      </c>
      <c r="X29" s="503">
        <f t="shared" si="14"/>
        <v>2894.2999999999997</v>
      </c>
      <c r="Y29" s="503">
        <f t="shared" si="14"/>
        <v>2965.6</v>
      </c>
      <c r="Z29" s="503">
        <f t="shared" si="14"/>
        <v>3005.4</v>
      </c>
      <c r="AA29" s="503">
        <f t="shared" si="14"/>
        <v>3054.2</v>
      </c>
      <c r="AB29" s="503">
        <f t="shared" si="14"/>
        <v>3117.7</v>
      </c>
      <c r="AC29" s="503">
        <f t="shared" si="14"/>
        <v>3192.4</v>
      </c>
      <c r="AD29" s="503">
        <f t="shared" si="14"/>
        <v>3245.4792890104623</v>
      </c>
      <c r="AE29" s="503">
        <f>AE10+AE23</f>
        <v>3266.494898038145</v>
      </c>
      <c r="AF29" s="503">
        <f t="shared" si="14"/>
        <v>3287.8135840720852</v>
      </c>
      <c r="AG29" s="503">
        <f t="shared" si="14"/>
        <v>3249.8415014340953</v>
      </c>
      <c r="AH29" s="503">
        <f t="shared" si="14"/>
        <v>3270.1312660089188</v>
      </c>
      <c r="AI29" s="503">
        <f t="shared" si="14"/>
        <v>3290.4770575828861</v>
      </c>
      <c r="AJ29" s="503">
        <f t="shared" si="14"/>
        <v>3310.7846211494725</v>
      </c>
      <c r="AK29" s="503">
        <f t="shared" si="14"/>
        <v>3428.6465577881381</v>
      </c>
      <c r="AL29" s="503">
        <f t="shared" si="14"/>
        <v>3449.8303439984848</v>
      </c>
      <c r="AM29" s="503">
        <f t="shared" si="14"/>
        <v>3471.2696943088877</v>
      </c>
      <c r="AN29" s="503">
        <f t="shared" si="14"/>
        <v>3492.9716931677676</v>
      </c>
    </row>
    <row r="30" spans="4:56" ht="14.9" customHeight="1" x14ac:dyDescent="0.35">
      <c r="D30" s="848" t="s">
        <v>1901</v>
      </c>
      <c r="E30" s="798"/>
      <c r="F30" s="503">
        <f t="shared" ref="F30:AN30" si="15">F13+F25</f>
        <v>1424.3</v>
      </c>
      <c r="G30" s="503">
        <f t="shared" si="15"/>
        <v>1430.8999999999999</v>
      </c>
      <c r="H30" s="503">
        <f t="shared" si="15"/>
        <v>1448.7</v>
      </c>
      <c r="I30" s="503">
        <f t="shared" si="15"/>
        <v>1473.5</v>
      </c>
      <c r="J30" s="503">
        <f t="shared" si="15"/>
        <v>1403</v>
      </c>
      <c r="K30" s="503">
        <f t="shared" si="15"/>
        <v>1452.9</v>
      </c>
      <c r="L30" s="503">
        <f t="shared" si="15"/>
        <v>1490.8</v>
      </c>
      <c r="M30" s="503">
        <f t="shared" si="15"/>
        <v>1508.5</v>
      </c>
      <c r="N30" s="503">
        <f t="shared" si="15"/>
        <v>1544.5</v>
      </c>
      <c r="O30" s="503">
        <f t="shared" si="15"/>
        <v>1581.6</v>
      </c>
      <c r="P30" s="503">
        <f t="shared" si="15"/>
        <v>1626.6</v>
      </c>
      <c r="Q30" s="503">
        <f t="shared" si="15"/>
        <v>1666.3000000000002</v>
      </c>
      <c r="R30" s="503">
        <f t="shared" si="15"/>
        <v>1689</v>
      </c>
      <c r="S30" s="503">
        <f t="shared" si="15"/>
        <v>1735.9</v>
      </c>
      <c r="T30" s="503">
        <f t="shared" si="15"/>
        <v>1751.7</v>
      </c>
      <c r="U30" s="503">
        <f t="shared" si="15"/>
        <v>1782</v>
      </c>
      <c r="V30" s="503">
        <f t="shared" si="15"/>
        <v>1810.4</v>
      </c>
      <c r="W30" s="503">
        <f t="shared" si="15"/>
        <v>1839.2</v>
      </c>
      <c r="X30" s="503">
        <f t="shared" si="15"/>
        <v>1859</v>
      </c>
      <c r="Y30" s="503">
        <f t="shared" si="15"/>
        <v>1889.1</v>
      </c>
      <c r="Z30" s="503">
        <f t="shared" si="15"/>
        <v>1896.1000000000001</v>
      </c>
      <c r="AA30" s="503">
        <f t="shared" si="15"/>
        <v>1903.9</v>
      </c>
      <c r="AB30" s="503">
        <f t="shared" si="15"/>
        <v>1930.8</v>
      </c>
      <c r="AC30" s="503">
        <f t="shared" si="15"/>
        <v>1961.6</v>
      </c>
      <c r="AD30" s="503">
        <f t="shared" si="15"/>
        <v>1979.8523866970218</v>
      </c>
      <c r="AE30" s="503">
        <f t="shared" si="15"/>
        <v>1994.2295987967952</v>
      </c>
      <c r="AF30" s="503">
        <f t="shared" si="15"/>
        <v>2008.7046392983186</v>
      </c>
      <c r="AG30" s="503">
        <f t="shared" si="15"/>
        <v>2031.6146890948341</v>
      </c>
      <c r="AH30" s="503">
        <f t="shared" si="15"/>
        <v>2054.7717401940358</v>
      </c>
      <c r="AI30" s="503">
        <f t="shared" si="15"/>
        <v>2078.186758726365</v>
      </c>
      <c r="AJ30" s="503">
        <f t="shared" si="15"/>
        <v>2101.8603957385308</v>
      </c>
      <c r="AK30" s="503">
        <f t="shared" si="15"/>
        <v>2125.8074863755251</v>
      </c>
      <c r="AL30" s="503">
        <f t="shared" si="15"/>
        <v>2141.1895803761358</v>
      </c>
      <c r="AM30" s="503">
        <f t="shared" si="15"/>
        <v>2156.6849650740514</v>
      </c>
      <c r="AN30" s="503">
        <f t="shared" si="15"/>
        <v>2172.2923083661753</v>
      </c>
    </row>
    <row r="31" spans="4:56" ht="14.25" customHeight="1" x14ac:dyDescent="0.35"/>
    <row r="32" spans="4:56" ht="14.9" customHeight="1" x14ac:dyDescent="0.35">
      <c r="D32" s="523"/>
      <c r="E32" s="328"/>
      <c r="F32" s="328"/>
      <c r="G32" s="328"/>
      <c r="H32" s="328"/>
      <c r="I32" s="328"/>
      <c r="J32" s="328"/>
      <c r="K32" s="328"/>
      <c r="L32" s="328"/>
      <c r="AI32" s="263"/>
      <c r="AJ32" s="263"/>
      <c r="AK32" s="263"/>
      <c r="AL32" s="263"/>
      <c r="AM32" s="263"/>
      <c r="AN32" s="263"/>
      <c r="AO32" s="263"/>
    </row>
    <row r="33" spans="3:41" ht="14.9" customHeight="1" x14ac:dyDescent="0.35">
      <c r="D33" s="1413" t="s">
        <v>912</v>
      </c>
      <c r="E33" s="1414"/>
      <c r="F33" s="1415"/>
      <c r="G33" s="323">
        <v>2020</v>
      </c>
      <c r="H33" s="324">
        <v>2021</v>
      </c>
      <c r="I33" s="323">
        <v>2022</v>
      </c>
      <c r="J33" s="831">
        <v>2023</v>
      </c>
      <c r="K33" s="831">
        <v>2024</v>
      </c>
      <c r="L33" s="832">
        <v>2025</v>
      </c>
      <c r="M33" s="832">
        <v>2026</v>
      </c>
      <c r="N33" s="832">
        <v>2027</v>
      </c>
      <c r="AI33" s="263"/>
      <c r="AJ33" s="263"/>
      <c r="AK33" s="263"/>
      <c r="AL33" s="263"/>
      <c r="AM33" s="263"/>
      <c r="AN33" s="263"/>
      <c r="AO33" s="263"/>
    </row>
    <row r="34" spans="3:41" ht="14.9" customHeight="1" x14ac:dyDescent="0.35">
      <c r="D34" s="802" t="s">
        <v>489</v>
      </c>
      <c r="E34" s="284"/>
      <c r="F34" s="317"/>
      <c r="G34" s="870">
        <f>AVERAGE(H10:K10)</f>
        <v>1712.5250000000001</v>
      </c>
      <c r="H34" s="472">
        <f>AVERAGE(L10:O10)</f>
        <v>2025.3000000000002</v>
      </c>
      <c r="I34" s="472">
        <f>AVERAGE(P10:S10)</f>
        <v>2519.5</v>
      </c>
      <c r="J34" s="472">
        <f>I34*J58/I58</f>
        <v>2083.336548518414</v>
      </c>
      <c r="K34" s="472">
        <f>J34*K58/J58</f>
        <v>2322.2412923680117</v>
      </c>
      <c r="L34" s="472">
        <f>K34*L58/K58</f>
        <v>2480.4432008874892</v>
      </c>
      <c r="M34" s="472">
        <f>L34*M58/L58</f>
        <v>2538.9053988287119</v>
      </c>
      <c r="N34" s="472">
        <f>M34*N58/M58</f>
        <v>2684.1764370883825</v>
      </c>
      <c r="O34" t="s">
        <v>1906</v>
      </c>
    </row>
    <row r="35" spans="3:41" ht="14.9" customHeight="1" x14ac:dyDescent="0.35">
      <c r="D35" s="825" t="s">
        <v>494</v>
      </c>
      <c r="E35" s="229"/>
      <c r="F35" s="229"/>
      <c r="G35" s="871">
        <f>AVERAGE(H13:K13)</f>
        <v>1424.5250000000001</v>
      </c>
      <c r="H35" s="242">
        <f>AVERAGE(L13:O13)</f>
        <v>1509.7249999999999</v>
      </c>
      <c r="I35" s="242">
        <f>AVERAGE(P13:S13)</f>
        <v>1656.375</v>
      </c>
      <c r="J35" s="242">
        <f t="shared" ref="J35:N36" si="16">I35*J62/I62</f>
        <v>1802.5599531117082</v>
      </c>
      <c r="K35" s="242">
        <f t="shared" si="16"/>
        <v>1908.0368684134958</v>
      </c>
      <c r="L35" s="242">
        <f t="shared" si="16"/>
        <v>1963.5230627909452</v>
      </c>
      <c r="M35" s="242">
        <f t="shared" si="16"/>
        <v>2054.6673099258119</v>
      </c>
      <c r="N35" s="242">
        <f t="shared" si="16"/>
        <v>2138.5117997594916</v>
      </c>
    </row>
    <row r="36" spans="3:41" ht="14.9" customHeight="1" x14ac:dyDescent="0.35">
      <c r="D36" s="825" t="s">
        <v>105</v>
      </c>
      <c r="E36" s="229"/>
      <c r="F36" s="229"/>
      <c r="G36" s="871">
        <f>AVERAGE(H15:K15)</f>
        <v>160.375</v>
      </c>
      <c r="H36" s="242">
        <f>AVERAGE(L15:O15)</f>
        <v>171.3</v>
      </c>
      <c r="I36" s="242">
        <f>AVERAGE(P15:S15)</f>
        <v>203.05</v>
      </c>
      <c r="J36" s="242">
        <f t="shared" si="16"/>
        <v>168.63950531914898</v>
      </c>
      <c r="K36" s="242">
        <f t="shared" si="16"/>
        <v>112.9368420212766</v>
      </c>
      <c r="L36" s="242">
        <f t="shared" si="16"/>
        <v>105.39591063829786</v>
      </c>
      <c r="M36" s="242">
        <f t="shared" si="16"/>
        <v>113.12153111702128</v>
      </c>
      <c r="N36" s="242">
        <f t="shared" si="16"/>
        <v>114.05037686170213</v>
      </c>
    </row>
    <row r="37" spans="3:41" ht="14.9" customHeight="1" x14ac:dyDescent="0.35">
      <c r="D37" s="825" t="s">
        <v>257</v>
      </c>
      <c r="E37" s="229"/>
      <c r="F37" s="229"/>
      <c r="G37" s="871">
        <f>AVERAGE(H17:K17)</f>
        <v>220.4</v>
      </c>
      <c r="H37" s="242">
        <f>AVERAGE(L17:O17)</f>
        <v>307.375</v>
      </c>
      <c r="I37" s="242">
        <f>AVERAGE(P17:S17)</f>
        <v>389.2</v>
      </c>
      <c r="J37" s="242">
        <f>I37*J66/I66</f>
        <v>384.36050058018151</v>
      </c>
      <c r="K37" s="242">
        <f>J37*K66/J66</f>
        <v>485.38539448815737</v>
      </c>
      <c r="L37" s="242">
        <f>K37*L66/K66</f>
        <v>479.71870067574088</v>
      </c>
      <c r="M37" s="242">
        <f>L37*M66/L66</f>
        <v>453.58009071074002</v>
      </c>
      <c r="N37" s="242">
        <f>M37*N66/M66</f>
        <v>429.60702619878685</v>
      </c>
    </row>
    <row r="38" spans="3:41" ht="14.9" customHeight="1" x14ac:dyDescent="0.35">
      <c r="C38" s="56"/>
      <c r="D38" s="825" t="s">
        <v>908</v>
      </c>
      <c r="E38" s="56"/>
      <c r="F38" s="245"/>
      <c r="G38" s="559"/>
      <c r="H38" s="869">
        <f>H34/G34-1+0.021</f>
        <v>0.2036396694938761</v>
      </c>
      <c r="I38" s="869">
        <f>I34/H34-1.05</f>
        <v>0.1940132326075148</v>
      </c>
      <c r="J38" s="869">
        <f>J34/I34-1</f>
        <v>-0.17311508294565825</v>
      </c>
      <c r="K38" s="869">
        <f>K34/J34-1+K39</f>
        <v>0.16967410007254818</v>
      </c>
      <c r="L38" s="869">
        <f>L34/K34-1+L39</f>
        <v>6.8124664322955608E-2</v>
      </c>
      <c r="M38" s="869">
        <f>M34/L34-1+M39</f>
        <v>2.3569254849417742E-2</v>
      </c>
      <c r="N38" s="869">
        <f>N34/M34-1+N39</f>
        <v>5.7217979971482702E-2</v>
      </c>
      <c r="O38" t="s">
        <v>896</v>
      </c>
    </row>
    <row r="39" spans="3:41" ht="14.9" customHeight="1" x14ac:dyDescent="0.35">
      <c r="C39" s="56"/>
      <c r="D39" s="825" t="s">
        <v>1882</v>
      </c>
      <c r="E39" s="56"/>
      <c r="F39" s="245"/>
      <c r="G39" s="559"/>
      <c r="H39" s="869"/>
      <c r="I39" s="869"/>
      <c r="J39" s="869"/>
      <c r="K39" s="869">
        <v>5.5E-2</v>
      </c>
      <c r="L39" s="869"/>
      <c r="M39" s="869"/>
      <c r="N39" s="869"/>
    </row>
    <row r="40" spans="3:41" ht="14.9" customHeight="1" x14ac:dyDescent="0.35">
      <c r="C40" s="56"/>
      <c r="D40" s="825" t="s">
        <v>909</v>
      </c>
      <c r="E40" s="56"/>
      <c r="F40" s="245"/>
      <c r="G40" s="559"/>
      <c r="H40" s="869">
        <f>H35/G35-1.03</f>
        <v>2.9809410154261862E-2</v>
      </c>
      <c r="I40" s="869">
        <f>I35/H35-1.013</f>
        <v>8.413689579228012E-2</v>
      </c>
      <c r="J40" s="784">
        <f>J35/I35-1</f>
        <v>8.8255952372927826E-2</v>
      </c>
      <c r="K40" s="784">
        <f>K35/J35-1</f>
        <v>5.851506637529913E-2</v>
      </c>
      <c r="L40" s="784">
        <f>L35/K35-1</f>
        <v>2.9080252743536095E-2</v>
      </c>
      <c r="M40" s="784">
        <f>M35/L35-1</f>
        <v>4.6418730119377694E-2</v>
      </c>
      <c r="N40" s="784">
        <f>N35/M35-1</f>
        <v>4.0806844703587197E-2</v>
      </c>
      <c r="O40" t="s">
        <v>897</v>
      </c>
    </row>
    <row r="41" spans="3:41" ht="14.9" customHeight="1" x14ac:dyDescent="0.35">
      <c r="C41" s="56"/>
      <c r="D41" s="825" t="s">
        <v>910</v>
      </c>
      <c r="E41" s="56"/>
      <c r="F41" s="245"/>
      <c r="G41" s="559"/>
      <c r="H41" s="869">
        <f>H36/G36-1</f>
        <v>6.8121590023382694E-2</v>
      </c>
      <c r="I41" s="869">
        <f>I36/H36-1.01</f>
        <v>0.17534734384121431</v>
      </c>
      <c r="J41" s="869">
        <f>J36/I36-1</f>
        <v>-0.16946808510638278</v>
      </c>
      <c r="K41" s="869">
        <f t="shared" ref="K41" si="17">K36/J36-1</f>
        <v>-0.3303061355194058</v>
      </c>
      <c r="L41" s="869">
        <f>L36/K36-1</f>
        <v>-6.677122582866335E-2</v>
      </c>
      <c r="M41" s="869">
        <f>M36/L36-1</f>
        <v>7.3300950975569767E-2</v>
      </c>
      <c r="N41" s="869">
        <f>N36/M36-1</f>
        <v>8.2110428979254024E-3</v>
      </c>
    </row>
    <row r="42" spans="3:41" ht="14.9" customHeight="1" x14ac:dyDescent="0.35">
      <c r="C42" s="56"/>
      <c r="D42" s="785" t="s">
        <v>911</v>
      </c>
      <c r="E42" s="35"/>
      <c r="F42" s="367"/>
      <c r="G42" s="558"/>
      <c r="H42" s="786">
        <f>H37/G37-1</f>
        <v>0.39462341197822148</v>
      </c>
      <c r="I42" s="786">
        <f>I37/H37-1.103</f>
        <v>0.16320577470516473</v>
      </c>
      <c r="J42" s="786">
        <f>J37/I37-1</f>
        <v>-1.2434479495936457E-2</v>
      </c>
      <c r="K42" s="786">
        <f>K37/J37-1-0.15</f>
        <v>0.11283890710799263</v>
      </c>
      <c r="L42" s="786">
        <f>L37/K37-1+0.15</f>
        <v>0.13832537221604688</v>
      </c>
      <c r="M42" s="786">
        <f>M37/L37-1+0.03</f>
        <v>-2.4487369219047511E-2</v>
      </c>
      <c r="N42" s="786">
        <f>N37/M37-1+0.03</f>
        <v>-2.2852991131926542E-2</v>
      </c>
    </row>
    <row r="43" spans="3:41" ht="14.9" customHeight="1" x14ac:dyDescent="0.35">
      <c r="D43" s="799"/>
      <c r="E43" s="798"/>
      <c r="F43" s="810"/>
      <c r="G43" s="810"/>
      <c r="H43" s="782"/>
      <c r="I43" s="782"/>
      <c r="J43" s="782"/>
      <c r="K43" s="782"/>
      <c r="L43" s="782"/>
    </row>
    <row r="44" spans="3:41" ht="14.9" customHeight="1" x14ac:dyDescent="0.35">
      <c r="D44" s="799"/>
      <c r="E44" s="798"/>
      <c r="F44" s="810"/>
      <c r="G44" s="810"/>
      <c r="H44" s="782"/>
      <c r="I44" s="782"/>
      <c r="J44" s="782"/>
      <c r="K44" s="782"/>
      <c r="L44" s="782"/>
    </row>
    <row r="45" spans="3:41" ht="14.9" customHeight="1" x14ac:dyDescent="0.35">
      <c r="D45" s="799"/>
      <c r="E45" s="798"/>
      <c r="F45" s="1416" t="s">
        <v>279</v>
      </c>
      <c r="G45" s="1417"/>
      <c r="H45" s="1417"/>
      <c r="I45" s="1417"/>
      <c r="J45" s="1417"/>
      <c r="K45" s="1417"/>
      <c r="L45" s="1417"/>
      <c r="M45" s="1417"/>
      <c r="N45" s="1417"/>
      <c r="O45" s="1417"/>
      <c r="P45" s="1417"/>
      <c r="Q45" s="1417"/>
      <c r="R45" s="1417"/>
      <c r="S45" s="1417"/>
      <c r="T45" s="1417"/>
      <c r="U45" s="1417"/>
      <c r="V45" s="1418"/>
      <c r="W45" s="1261" t="s">
        <v>280</v>
      </c>
      <c r="X45" s="1262"/>
      <c r="Y45" s="1262"/>
      <c r="Z45" s="1262"/>
      <c r="AA45" s="1262"/>
      <c r="AB45" s="1262"/>
      <c r="AC45" s="1262"/>
      <c r="AD45" s="1262"/>
      <c r="AE45" s="1262"/>
      <c r="AF45" s="1262"/>
      <c r="AG45" s="1262"/>
      <c r="AH45" s="1263"/>
      <c r="AJ45" s="845" t="s">
        <v>1955</v>
      </c>
    </row>
    <row r="46" spans="3:41" ht="14.9" customHeight="1" x14ac:dyDescent="0.35">
      <c r="D46" s="799"/>
      <c r="E46" s="798"/>
      <c r="F46" s="1264">
        <v>2019</v>
      </c>
      <c r="G46" s="1265"/>
      <c r="H46" s="1266"/>
      <c r="I46" s="1265">
        <v>2020</v>
      </c>
      <c r="J46" s="1265"/>
      <c r="K46" s="1265"/>
      <c r="L46" s="1265"/>
      <c r="M46" s="1264">
        <v>2021</v>
      </c>
      <c r="N46" s="1265"/>
      <c r="O46" s="1265"/>
      <c r="P46" s="1265"/>
      <c r="Q46" s="1264">
        <v>2022</v>
      </c>
      <c r="R46" s="1265"/>
      <c r="S46" s="1265"/>
      <c r="T46" s="1266"/>
      <c r="U46" s="299"/>
      <c r="V46" s="299">
        <v>2023</v>
      </c>
      <c r="W46" s="290"/>
      <c r="X46" s="722"/>
      <c r="Y46" s="1372">
        <v>2024</v>
      </c>
      <c r="Z46" s="1373"/>
      <c r="AA46" s="1373"/>
      <c r="AB46" s="1406"/>
      <c r="AC46" s="1372">
        <v>2025</v>
      </c>
      <c r="AD46" s="1373"/>
      <c r="AE46" s="1373"/>
      <c r="AF46" s="1406"/>
      <c r="AG46" s="1270">
        <v>2026</v>
      </c>
      <c r="AH46" s="1352"/>
      <c r="AI46" s="1352"/>
      <c r="AJ46" s="1272"/>
    </row>
    <row r="47" spans="3:41" ht="14.9" customHeight="1" x14ac:dyDescent="0.35">
      <c r="D47" s="799"/>
      <c r="E47" s="798"/>
      <c r="F47" s="282" t="s">
        <v>283</v>
      </c>
      <c r="G47" s="283" t="s">
        <v>238</v>
      </c>
      <c r="H47" s="281" t="s">
        <v>281</v>
      </c>
      <c r="I47" s="283" t="s">
        <v>282</v>
      </c>
      <c r="J47" s="283" t="s">
        <v>283</v>
      </c>
      <c r="K47" s="283" t="s">
        <v>238</v>
      </c>
      <c r="L47" s="283" t="s">
        <v>281</v>
      </c>
      <c r="M47" s="282" t="s">
        <v>282</v>
      </c>
      <c r="N47" s="283" t="s">
        <v>283</v>
      </c>
      <c r="O47" s="283" t="s">
        <v>238</v>
      </c>
      <c r="P47" s="283" t="s">
        <v>281</v>
      </c>
      <c r="Q47" s="282" t="s">
        <v>282</v>
      </c>
      <c r="R47" s="283" t="s">
        <v>283</v>
      </c>
      <c r="S47" s="283" t="s">
        <v>238</v>
      </c>
      <c r="T47" s="281" t="s">
        <v>281</v>
      </c>
      <c r="U47" s="283" t="s">
        <v>282</v>
      </c>
      <c r="V47" s="283" t="s">
        <v>283</v>
      </c>
      <c r="W47" s="269" t="s">
        <v>238</v>
      </c>
      <c r="X47" s="298" t="s">
        <v>281</v>
      </c>
      <c r="Y47" s="296" t="s">
        <v>282</v>
      </c>
      <c r="Z47" s="267" t="s">
        <v>283</v>
      </c>
      <c r="AA47" s="269" t="s">
        <v>238</v>
      </c>
      <c r="AB47" s="298" t="s">
        <v>281</v>
      </c>
      <c r="AC47" s="296" t="s">
        <v>282</v>
      </c>
      <c r="AD47" s="267" t="s">
        <v>283</v>
      </c>
      <c r="AE47" s="269" t="s">
        <v>238</v>
      </c>
      <c r="AF47" s="269" t="s">
        <v>281</v>
      </c>
      <c r="AG47" s="296" t="s">
        <v>282</v>
      </c>
      <c r="AH47" s="267" t="s">
        <v>283</v>
      </c>
      <c r="AI47" s="269" t="s">
        <v>238</v>
      </c>
      <c r="AJ47" s="298" t="s">
        <v>281</v>
      </c>
    </row>
    <row r="48" spans="3:41" ht="14.9" customHeight="1" x14ac:dyDescent="0.35">
      <c r="D48" s="825" t="s">
        <v>908</v>
      </c>
      <c r="E48" s="798"/>
      <c r="F48" s="810"/>
      <c r="G48" s="810"/>
      <c r="H48" s="782"/>
      <c r="I48" s="782"/>
      <c r="J48" s="782"/>
      <c r="K48" s="782"/>
      <c r="L48" s="782"/>
    </row>
    <row r="49" spans="4:41" ht="14.9" customHeight="1" x14ac:dyDescent="0.35">
      <c r="D49" s="825" t="s">
        <v>1882</v>
      </c>
      <c r="E49" s="798"/>
      <c r="F49" s="810"/>
      <c r="G49" s="810"/>
      <c r="H49" s="782"/>
      <c r="I49" s="782"/>
      <c r="J49" s="782"/>
      <c r="K49" s="782"/>
      <c r="L49" s="782"/>
      <c r="M49" s="847">
        <f>H38</f>
        <v>0.2036396694938761</v>
      </c>
      <c r="N49" s="847">
        <f>H38</f>
        <v>0.2036396694938761</v>
      </c>
      <c r="O49" s="847">
        <f>H38</f>
        <v>0.2036396694938761</v>
      </c>
      <c r="P49" s="847">
        <f>H38</f>
        <v>0.2036396694938761</v>
      </c>
      <c r="Q49" s="847">
        <f>I38</f>
        <v>0.1940132326075148</v>
      </c>
      <c r="R49" s="847">
        <f>I38</f>
        <v>0.1940132326075148</v>
      </c>
      <c r="S49" s="847">
        <f>I38</f>
        <v>0.1940132326075148</v>
      </c>
      <c r="T49" s="847">
        <f>I38</f>
        <v>0.1940132326075148</v>
      </c>
      <c r="U49" s="847">
        <f>J38</f>
        <v>-0.17311508294565825</v>
      </c>
      <c r="V49" s="847">
        <f>J38</f>
        <v>-0.17311508294565825</v>
      </c>
      <c r="W49" s="847">
        <f>J38</f>
        <v>-0.17311508294565825</v>
      </c>
      <c r="X49" s="847">
        <f>J38</f>
        <v>-0.17311508294565825</v>
      </c>
      <c r="Y49" s="847">
        <f>K38</f>
        <v>0.16967410007254818</v>
      </c>
      <c r="Z49" s="847">
        <f>K38</f>
        <v>0.16967410007254818</v>
      </c>
      <c r="AA49" s="847">
        <f>K38</f>
        <v>0.16967410007254818</v>
      </c>
      <c r="AB49" s="847">
        <f t="shared" ref="AB49:AC53" si="18">K38</f>
        <v>0.16967410007254818</v>
      </c>
      <c r="AC49" s="847">
        <f>L38</f>
        <v>6.8124664322955608E-2</v>
      </c>
      <c r="AD49" s="847">
        <f>L38</f>
        <v>6.8124664322955608E-2</v>
      </c>
      <c r="AE49" s="847">
        <f>L38</f>
        <v>6.8124664322955608E-2</v>
      </c>
      <c r="AF49" s="847">
        <f t="shared" ref="AF49:AG53" si="19">L38</f>
        <v>6.8124664322955608E-2</v>
      </c>
      <c r="AG49" s="847">
        <f t="shared" si="19"/>
        <v>2.3569254849417742E-2</v>
      </c>
      <c r="AH49" s="847">
        <f>M38</f>
        <v>2.3569254849417742E-2</v>
      </c>
      <c r="AI49" s="847">
        <f>M38</f>
        <v>2.3569254849417742E-2</v>
      </c>
      <c r="AJ49" s="847">
        <f>M38</f>
        <v>2.3569254849417742E-2</v>
      </c>
    </row>
    <row r="50" spans="4:41" ht="14.9" customHeight="1" x14ac:dyDescent="0.35">
      <c r="D50" s="825" t="s">
        <v>909</v>
      </c>
      <c r="E50" s="798"/>
      <c r="F50" s="810"/>
      <c r="G50" s="810"/>
      <c r="H50" s="782"/>
      <c r="I50" s="782"/>
      <c r="J50" s="782"/>
      <c r="K50" s="782"/>
      <c r="L50" s="782"/>
      <c r="Y50" s="847">
        <f>K39</f>
        <v>5.5E-2</v>
      </c>
      <c r="Z50" s="847">
        <f>K39</f>
        <v>5.5E-2</v>
      </c>
      <c r="AA50" s="847">
        <f>K39</f>
        <v>5.5E-2</v>
      </c>
      <c r="AB50" s="847">
        <f t="shared" si="18"/>
        <v>5.5E-2</v>
      </c>
      <c r="AC50" s="847">
        <f>L39</f>
        <v>0</v>
      </c>
      <c r="AD50" s="847">
        <f>L39</f>
        <v>0</v>
      </c>
      <c r="AE50" s="847">
        <f>L39</f>
        <v>0</v>
      </c>
      <c r="AF50" s="847">
        <f t="shared" si="19"/>
        <v>0</v>
      </c>
      <c r="AG50" s="847">
        <f t="shared" si="19"/>
        <v>0</v>
      </c>
      <c r="AH50" s="847">
        <f>M39</f>
        <v>0</v>
      </c>
      <c r="AI50" s="847">
        <f>M39</f>
        <v>0</v>
      </c>
      <c r="AJ50" s="847">
        <f>M39</f>
        <v>0</v>
      </c>
    </row>
    <row r="51" spans="4:41" ht="14.9" customHeight="1" x14ac:dyDescent="0.35">
      <c r="D51" s="825" t="s">
        <v>910</v>
      </c>
      <c r="E51" s="798"/>
      <c r="F51" s="810"/>
      <c r="G51" s="810"/>
      <c r="H51" s="782"/>
      <c r="I51" s="782"/>
      <c r="J51" s="782"/>
      <c r="K51" s="782"/>
      <c r="L51" s="782"/>
      <c r="M51" s="847">
        <f>H40</f>
        <v>2.9809410154261862E-2</v>
      </c>
      <c r="N51" s="847">
        <f>H40</f>
        <v>2.9809410154261862E-2</v>
      </c>
      <c r="O51" s="443">
        <f>H40</f>
        <v>2.9809410154261862E-2</v>
      </c>
      <c r="P51" s="847">
        <f t="shared" ref="P51:Q53" si="20">H40</f>
        <v>2.9809410154261862E-2</v>
      </c>
      <c r="Q51" s="847">
        <f t="shared" si="20"/>
        <v>8.413689579228012E-2</v>
      </c>
      <c r="R51" s="847">
        <f>I40</f>
        <v>8.413689579228012E-2</v>
      </c>
      <c r="S51" s="847">
        <f>I40</f>
        <v>8.413689579228012E-2</v>
      </c>
      <c r="T51" s="847">
        <f t="shared" ref="T51:U53" si="21">I40</f>
        <v>8.413689579228012E-2</v>
      </c>
      <c r="U51" s="443">
        <f t="shared" si="21"/>
        <v>8.8255952372927826E-2</v>
      </c>
      <c r="V51" s="443">
        <f>J40</f>
        <v>8.8255952372927826E-2</v>
      </c>
      <c r="W51" s="443">
        <f>J40</f>
        <v>8.8255952372927826E-2</v>
      </c>
      <c r="X51" s="443">
        <f>J40</f>
        <v>8.8255952372927826E-2</v>
      </c>
      <c r="Y51" s="847">
        <f>K40</f>
        <v>5.851506637529913E-2</v>
      </c>
      <c r="Z51" s="847">
        <f>K40</f>
        <v>5.851506637529913E-2</v>
      </c>
      <c r="AA51" s="847">
        <f>K40</f>
        <v>5.851506637529913E-2</v>
      </c>
      <c r="AB51" s="847">
        <f t="shared" si="18"/>
        <v>5.851506637529913E-2</v>
      </c>
      <c r="AC51" s="847">
        <f t="shared" si="18"/>
        <v>2.9080252743536095E-2</v>
      </c>
      <c r="AD51" s="847">
        <f>L40</f>
        <v>2.9080252743536095E-2</v>
      </c>
      <c r="AE51" s="847">
        <f>L40</f>
        <v>2.9080252743536095E-2</v>
      </c>
      <c r="AF51" s="847">
        <f t="shared" si="19"/>
        <v>2.9080252743536095E-2</v>
      </c>
      <c r="AG51" s="847">
        <f>M40</f>
        <v>4.6418730119377694E-2</v>
      </c>
      <c r="AH51" s="847">
        <f>M40</f>
        <v>4.6418730119377694E-2</v>
      </c>
      <c r="AI51" s="847">
        <f>M40</f>
        <v>4.6418730119377694E-2</v>
      </c>
      <c r="AJ51" s="847">
        <f>M40</f>
        <v>4.6418730119377694E-2</v>
      </c>
    </row>
    <row r="52" spans="4:41" ht="14.9" customHeight="1" x14ac:dyDescent="0.35">
      <c r="D52" s="785" t="s">
        <v>911</v>
      </c>
      <c r="E52" s="798"/>
      <c r="F52" s="810"/>
      <c r="G52" s="810"/>
      <c r="H52" s="782"/>
      <c r="I52" s="782"/>
      <c r="J52" s="782"/>
      <c r="K52" s="782"/>
      <c r="L52" s="782"/>
      <c r="M52" s="847">
        <f>H41</f>
        <v>6.8121590023382694E-2</v>
      </c>
      <c r="N52" s="847">
        <f>H41</f>
        <v>6.8121590023382694E-2</v>
      </c>
      <c r="O52" s="847">
        <f>H41</f>
        <v>6.8121590023382694E-2</v>
      </c>
      <c r="P52" s="847">
        <f t="shared" si="20"/>
        <v>6.8121590023382694E-2</v>
      </c>
      <c r="Q52" s="847">
        <f t="shared" si="20"/>
        <v>0.17534734384121431</v>
      </c>
      <c r="R52" s="847">
        <f>I41</f>
        <v>0.17534734384121431</v>
      </c>
      <c r="S52" s="847">
        <f>I41</f>
        <v>0.17534734384121431</v>
      </c>
      <c r="T52" s="847">
        <f t="shared" si="21"/>
        <v>0.17534734384121431</v>
      </c>
      <c r="U52" s="847">
        <f t="shared" si="21"/>
        <v>-0.16946808510638278</v>
      </c>
      <c r="V52" s="847">
        <f>J41</f>
        <v>-0.16946808510638278</v>
      </c>
      <c r="W52" s="847">
        <f>J41</f>
        <v>-0.16946808510638278</v>
      </c>
      <c r="X52" s="847">
        <f>J41</f>
        <v>-0.16946808510638278</v>
      </c>
      <c r="Y52" s="847">
        <f>K41</f>
        <v>-0.3303061355194058</v>
      </c>
      <c r="Z52" s="847">
        <f>K41</f>
        <v>-0.3303061355194058</v>
      </c>
      <c r="AA52" s="847">
        <f>K41</f>
        <v>-0.3303061355194058</v>
      </c>
      <c r="AB52" s="847">
        <f t="shared" si="18"/>
        <v>-0.3303061355194058</v>
      </c>
      <c r="AC52" s="847">
        <f t="shared" si="18"/>
        <v>-6.677122582866335E-2</v>
      </c>
      <c r="AD52" s="847">
        <f>L41</f>
        <v>-6.677122582866335E-2</v>
      </c>
      <c r="AE52" s="847">
        <f>L41</f>
        <v>-6.677122582866335E-2</v>
      </c>
      <c r="AF52" s="847">
        <f t="shared" si="19"/>
        <v>-6.677122582866335E-2</v>
      </c>
      <c r="AG52" s="847">
        <f t="shared" si="19"/>
        <v>7.3300950975569767E-2</v>
      </c>
      <c r="AH52" s="847">
        <f>M41</f>
        <v>7.3300950975569767E-2</v>
      </c>
      <c r="AI52" s="847">
        <f>M41</f>
        <v>7.3300950975569767E-2</v>
      </c>
      <c r="AJ52" s="847">
        <f>M41</f>
        <v>7.3300950975569767E-2</v>
      </c>
    </row>
    <row r="53" spans="4:41" ht="14.9" customHeight="1" x14ac:dyDescent="0.35">
      <c r="D53" s="799"/>
      <c r="E53" s="798"/>
      <c r="F53" s="810"/>
      <c r="G53" s="810"/>
      <c r="H53" s="782"/>
      <c r="I53" s="782"/>
      <c r="J53" s="782"/>
      <c r="K53" s="782"/>
      <c r="L53" s="782"/>
      <c r="M53" s="847">
        <f>H42</f>
        <v>0.39462341197822148</v>
      </c>
      <c r="N53" s="847">
        <f>H42</f>
        <v>0.39462341197822148</v>
      </c>
      <c r="O53" s="847">
        <f>H42</f>
        <v>0.39462341197822148</v>
      </c>
      <c r="P53" s="847">
        <f t="shared" si="20"/>
        <v>0.39462341197822148</v>
      </c>
      <c r="Q53" s="847">
        <f t="shared" si="20"/>
        <v>0.16320577470516473</v>
      </c>
      <c r="R53" s="847">
        <f>I42</f>
        <v>0.16320577470516473</v>
      </c>
      <c r="S53" s="847">
        <f>I42</f>
        <v>0.16320577470516473</v>
      </c>
      <c r="T53" s="847">
        <f t="shared" si="21"/>
        <v>0.16320577470516473</v>
      </c>
      <c r="U53" s="847">
        <f t="shared" si="21"/>
        <v>-1.2434479495936457E-2</v>
      </c>
      <c r="V53" s="847">
        <f>J42</f>
        <v>-1.2434479495936457E-2</v>
      </c>
      <c r="W53" s="847">
        <f>J42</f>
        <v>-1.2434479495936457E-2</v>
      </c>
      <c r="X53" s="847">
        <f>J42</f>
        <v>-1.2434479495936457E-2</v>
      </c>
      <c r="Y53" s="847">
        <f>K42</f>
        <v>0.11283890710799263</v>
      </c>
      <c r="Z53" s="847">
        <f>K42</f>
        <v>0.11283890710799263</v>
      </c>
      <c r="AA53" s="847">
        <f>K42</f>
        <v>0.11283890710799263</v>
      </c>
      <c r="AB53" s="847">
        <f t="shared" si="18"/>
        <v>0.11283890710799263</v>
      </c>
      <c r="AC53" s="847">
        <f t="shared" si="18"/>
        <v>0.13832537221604688</v>
      </c>
      <c r="AD53" s="847">
        <f>L42</f>
        <v>0.13832537221604688</v>
      </c>
      <c r="AE53" s="847">
        <f>L42</f>
        <v>0.13832537221604688</v>
      </c>
      <c r="AF53" s="847">
        <f t="shared" si="19"/>
        <v>0.13832537221604688</v>
      </c>
      <c r="AG53" s="847">
        <f t="shared" si="19"/>
        <v>-2.4487369219047511E-2</v>
      </c>
      <c r="AH53" s="847">
        <f>O42</f>
        <v>0</v>
      </c>
      <c r="AI53" s="847" t="e">
        <f>#REF!</f>
        <v>#REF!</v>
      </c>
      <c r="AJ53" s="847">
        <f>P42</f>
        <v>0</v>
      </c>
    </row>
    <row r="54" spans="4:41" ht="14.9" customHeight="1" x14ac:dyDescent="0.35">
      <c r="D54" s="799"/>
      <c r="E54" s="798"/>
      <c r="F54" s="810"/>
      <c r="G54" s="810"/>
      <c r="H54" s="782"/>
      <c r="I54" s="782"/>
      <c r="J54" s="884"/>
      <c r="K54" s="782"/>
      <c r="L54" s="782"/>
    </row>
    <row r="55" spans="4:41" ht="14.9" customHeight="1" x14ac:dyDescent="0.35">
      <c r="D55" s="799"/>
      <c r="E55" s="798"/>
      <c r="F55" s="810"/>
      <c r="G55" s="810"/>
      <c r="H55" s="782"/>
      <c r="I55" s="782"/>
      <c r="J55" s="782"/>
      <c r="K55" s="782"/>
      <c r="L55" s="782"/>
    </row>
    <row r="56" spans="4:41" ht="41.9" customHeight="1" x14ac:dyDescent="0.35">
      <c r="F56" s="245"/>
      <c r="G56" s="245"/>
      <c r="H56" s="710"/>
      <c r="I56" s="710"/>
      <c r="J56" s="710"/>
      <c r="K56" s="710"/>
      <c r="L56" s="710"/>
      <c r="M56" s="245" t="s">
        <v>1912</v>
      </c>
      <c r="N56" s="280"/>
      <c r="AF56" s="710"/>
      <c r="AG56" s="710"/>
      <c r="AH56" s="710"/>
      <c r="AI56" s="710"/>
      <c r="AJ56" s="710"/>
      <c r="AK56" s="710"/>
      <c r="AL56" s="710"/>
      <c r="AN56" s="710"/>
      <c r="AO56" s="710"/>
    </row>
    <row r="57" spans="4:41" ht="30.75" customHeight="1" x14ac:dyDescent="0.35">
      <c r="D57" s="764" t="s">
        <v>1966</v>
      </c>
      <c r="E57" s="651">
        <v>2018</v>
      </c>
      <c r="F57" s="766">
        <v>2019</v>
      </c>
      <c r="G57" s="766">
        <v>2020</v>
      </c>
      <c r="H57" s="766">
        <v>2021</v>
      </c>
      <c r="I57" s="766">
        <v>2022</v>
      </c>
      <c r="J57" s="838">
        <v>2023</v>
      </c>
      <c r="K57" s="841">
        <v>2024</v>
      </c>
      <c r="L57" s="857">
        <v>2025</v>
      </c>
      <c r="M57" s="835">
        <v>2026</v>
      </c>
      <c r="N57" s="841">
        <v>2027</v>
      </c>
      <c r="O57" s="857">
        <v>2028</v>
      </c>
      <c r="P57" s="835">
        <v>2029</v>
      </c>
      <c r="Q57" s="841">
        <v>2030</v>
      </c>
      <c r="R57" s="857">
        <v>2031</v>
      </c>
      <c r="S57" s="835">
        <v>2032</v>
      </c>
      <c r="T57" s="857">
        <v>2033</v>
      </c>
      <c r="U57" s="835">
        <v>2034</v>
      </c>
      <c r="V57" s="841">
        <v>2035</v>
      </c>
    </row>
    <row r="58" spans="4:41" ht="30.75" customHeight="1" x14ac:dyDescent="0.35">
      <c r="D58" s="1233" t="s">
        <v>2314</v>
      </c>
      <c r="E58" s="767">
        <v>1683.5</v>
      </c>
      <c r="F58" s="767">
        <v>1717.9</v>
      </c>
      <c r="G58" s="767">
        <v>1609</v>
      </c>
      <c r="H58" s="375">
        <v>2044.377</v>
      </c>
      <c r="I58" s="472">
        <v>2632.145</v>
      </c>
      <c r="J58" s="472">
        <v>2176.4810000000002</v>
      </c>
      <c r="K58" s="472">
        <v>2426.067</v>
      </c>
      <c r="L58" s="836">
        <f>L59+L60</f>
        <v>2591.3420000000001</v>
      </c>
      <c r="M58" s="836">
        <f>M59+M60</f>
        <v>2652.4180000000001</v>
      </c>
      <c r="N58" s="836">
        <f>N59+N60</f>
        <v>2804.1840000000002</v>
      </c>
      <c r="O58" s="836">
        <f t="shared" ref="O58:Q58" si="22">O59+O60</f>
        <v>3355.3890000000001</v>
      </c>
      <c r="P58" s="836">
        <f t="shared" si="22"/>
        <v>3454.9960000000001</v>
      </c>
      <c r="Q58" s="836">
        <f t="shared" si="22"/>
        <v>3583.7379999999998</v>
      </c>
      <c r="R58" s="836">
        <f t="shared" ref="R58:U58" si="23">R59-R60</f>
        <v>3720.614</v>
      </c>
      <c r="S58" s="836">
        <f t="shared" si="23"/>
        <v>3869.8490000000002</v>
      </c>
      <c r="T58" s="836">
        <f t="shared" si="23"/>
        <v>4036.6990000000001</v>
      </c>
      <c r="U58" s="836">
        <f t="shared" si="23"/>
        <v>4220.3469999999998</v>
      </c>
      <c r="V58" s="438">
        <v>4412.8320000000003</v>
      </c>
    </row>
    <row r="59" spans="4:41" ht="30.75" customHeight="1" x14ac:dyDescent="0.35">
      <c r="D59" s="792" t="s">
        <v>2313</v>
      </c>
      <c r="E59" s="854">
        <v>1683.5</v>
      </c>
      <c r="F59" s="854">
        <v>1717.9</v>
      </c>
      <c r="G59" s="854">
        <v>1609</v>
      </c>
      <c r="H59" s="438">
        <v>2044.377</v>
      </c>
      <c r="I59" s="242">
        <v>2632.145</v>
      </c>
      <c r="J59" s="242">
        <v>2176.4810000000002</v>
      </c>
      <c r="K59" s="242">
        <v>2426.067</v>
      </c>
      <c r="L59" s="242">
        <v>2621.3420000000001</v>
      </c>
      <c r="M59" s="438">
        <v>2968.42</v>
      </c>
      <c r="N59" s="854">
        <v>3252.893</v>
      </c>
      <c r="O59" s="438">
        <v>3355.3890000000001</v>
      </c>
      <c r="P59" s="438">
        <v>3454.9960000000001</v>
      </c>
      <c r="Q59" s="438">
        <v>3583.7379999999998</v>
      </c>
      <c r="R59" s="438">
        <v>3720.614</v>
      </c>
      <c r="S59" s="438">
        <v>3869.8490000000002</v>
      </c>
      <c r="T59" s="438">
        <v>4036.6990000000001</v>
      </c>
      <c r="U59" s="438">
        <v>4220.3469999999998</v>
      </c>
      <c r="V59" s="438">
        <v>4412.8320000000003</v>
      </c>
    </row>
    <row r="60" spans="4:41" ht="30.75" customHeight="1" x14ac:dyDescent="0.35">
      <c r="D60" s="1220" t="s">
        <v>2312</v>
      </c>
      <c r="E60" s="854"/>
      <c r="F60" s="854"/>
      <c r="G60" s="854"/>
      <c r="H60" s="438"/>
      <c r="I60" s="242"/>
      <c r="J60" s="242"/>
      <c r="K60" s="242"/>
      <c r="L60" s="242">
        <v>-30</v>
      </c>
      <c r="M60" s="438">
        <v>-316.00200000000001</v>
      </c>
      <c r="N60" s="854">
        <v>-448.709</v>
      </c>
      <c r="O60" s="438">
        <v>0</v>
      </c>
      <c r="P60" s="438">
        <v>0</v>
      </c>
      <c r="Q60" s="438">
        <v>0</v>
      </c>
      <c r="R60" s="438"/>
      <c r="S60" s="438"/>
      <c r="T60" s="438"/>
      <c r="U60" s="438"/>
      <c r="V60" s="438"/>
    </row>
    <row r="61" spans="4:41" ht="30.75" customHeight="1" x14ac:dyDescent="0.35">
      <c r="D61" s="792" t="s">
        <v>1975</v>
      </c>
      <c r="E61" s="854"/>
      <c r="F61" s="854"/>
      <c r="G61" s="854"/>
      <c r="H61" s="622">
        <f>((H58/G58)-1)*100</f>
        <v>27.058856432566802</v>
      </c>
      <c r="I61" s="622">
        <f t="shared" ref="I61:U61" si="24">((I58/H58)-1)*100</f>
        <v>28.750470192141677</v>
      </c>
      <c r="J61" s="622">
        <f t="shared" si="24"/>
        <v>-17.311508294565826</v>
      </c>
      <c r="K61" s="622">
        <f t="shared" si="24"/>
        <v>11.46741000725482</v>
      </c>
      <c r="L61" s="622">
        <f t="shared" si="24"/>
        <v>6.8124664322955608</v>
      </c>
      <c r="M61" s="622">
        <f t="shared" si="24"/>
        <v>2.3569254849417742</v>
      </c>
      <c r="N61" s="622">
        <f t="shared" si="24"/>
        <v>5.7217979971482702</v>
      </c>
      <c r="O61" s="622">
        <f t="shared" si="24"/>
        <v>19.656520399517284</v>
      </c>
      <c r="P61" s="622">
        <f t="shared" si="24"/>
        <v>2.9685678769287183</v>
      </c>
      <c r="Q61" s="622">
        <f t="shared" si="24"/>
        <v>3.726256123017202</v>
      </c>
      <c r="R61" s="622">
        <f t="shared" si="24"/>
        <v>3.8193640271694029</v>
      </c>
      <c r="S61" s="622">
        <f t="shared" si="24"/>
        <v>4.0110315125406748</v>
      </c>
      <c r="T61" s="622">
        <f t="shared" si="24"/>
        <v>4.3115377370021468</v>
      </c>
      <c r="U61" s="622">
        <f t="shared" si="24"/>
        <v>4.5494598433026612</v>
      </c>
      <c r="V61" s="438"/>
    </row>
    <row r="62" spans="4:41" ht="16.5" customHeight="1" x14ac:dyDescent="0.35">
      <c r="D62" s="833" t="s">
        <v>490</v>
      </c>
      <c r="E62" s="854">
        <v>1170.7</v>
      </c>
      <c r="F62" s="854">
        <v>1243.4000000000001</v>
      </c>
      <c r="G62" s="854">
        <v>1310</v>
      </c>
      <c r="H62" s="438">
        <v>1314.088</v>
      </c>
      <c r="I62" s="242">
        <v>1483.5260000000001</v>
      </c>
      <c r="J62" s="242">
        <v>1614.4559999999999</v>
      </c>
      <c r="K62" s="242">
        <v>1708.9259999999999</v>
      </c>
      <c r="L62" s="242">
        <v>1758.6220000000001</v>
      </c>
      <c r="M62" s="839">
        <v>1840.2550000000001</v>
      </c>
      <c r="N62" s="242">
        <v>1915.35</v>
      </c>
      <c r="O62" s="242">
        <v>1989.9770000000001</v>
      </c>
      <c r="P62" s="242">
        <v>2071.8760000000002</v>
      </c>
      <c r="Q62" s="242">
        <v>2155.48</v>
      </c>
      <c r="R62" s="242">
        <v>2241.7910000000002</v>
      </c>
      <c r="S62" s="242">
        <v>2329.39</v>
      </c>
      <c r="T62" s="242">
        <v>2418.5300000000002</v>
      </c>
      <c r="U62" s="242">
        <v>2510.3110000000001</v>
      </c>
      <c r="V62" s="242">
        <v>2605.1819999999998</v>
      </c>
    </row>
    <row r="63" spans="4:41" x14ac:dyDescent="0.35">
      <c r="D63" s="559" t="s">
        <v>491</v>
      </c>
      <c r="E63" s="438">
        <f>E64+E65</f>
        <v>136.30000000000001</v>
      </c>
      <c r="F63" s="438">
        <f t="shared" ref="F63:K63" si="25">F64+F65</f>
        <v>170.6</v>
      </c>
      <c r="G63" s="438">
        <f t="shared" si="25"/>
        <v>156</v>
      </c>
      <c r="H63" s="438">
        <f t="shared" si="25"/>
        <v>155.25900000000001</v>
      </c>
      <c r="I63" s="438">
        <f t="shared" si="25"/>
        <v>188</v>
      </c>
      <c r="J63" s="438">
        <f t="shared" si="25"/>
        <v>156.14000000000001</v>
      </c>
      <c r="K63" s="438">
        <f t="shared" si="25"/>
        <v>104.566</v>
      </c>
      <c r="L63" s="438">
        <f>L64+L65</f>
        <v>97.583999999999989</v>
      </c>
      <c r="M63" s="852">
        <f>M64+M65</f>
        <v>104.73699999999999</v>
      </c>
      <c r="N63" s="852">
        <f t="shared" ref="N63:V63" si="26">N64+N65</f>
        <v>105.59699999999999</v>
      </c>
      <c r="O63" s="852">
        <f t="shared" si="26"/>
        <v>105.84200000000001</v>
      </c>
      <c r="P63" s="852">
        <f t="shared" si="26"/>
        <v>109.229</v>
      </c>
      <c r="Q63" s="852">
        <f t="shared" si="26"/>
        <v>157.536</v>
      </c>
      <c r="R63" s="852">
        <f t="shared" si="26"/>
        <v>206.88</v>
      </c>
      <c r="S63" s="852">
        <f t="shared" si="26"/>
        <v>222.535</v>
      </c>
      <c r="T63" s="852">
        <f t="shared" si="26"/>
        <v>231.29900000000001</v>
      </c>
      <c r="U63" s="852">
        <f t="shared" si="26"/>
        <v>240.52500000000003</v>
      </c>
      <c r="V63" s="852">
        <f t="shared" si="26"/>
        <v>252.53300000000002</v>
      </c>
      <c r="W63" s="828"/>
    </row>
    <row r="64" spans="4:41" x14ac:dyDescent="0.35">
      <c r="D64" s="666" t="s">
        <v>1908</v>
      </c>
      <c r="E64" s="854">
        <v>95</v>
      </c>
      <c r="F64" s="854">
        <v>99.8</v>
      </c>
      <c r="G64" s="854">
        <v>87</v>
      </c>
      <c r="H64" s="438">
        <v>75.274000000000001</v>
      </c>
      <c r="I64" s="853">
        <v>88</v>
      </c>
      <c r="J64" s="837">
        <v>75.802000000000007</v>
      </c>
      <c r="K64" s="438">
        <v>101.435</v>
      </c>
      <c r="L64" s="438">
        <v>91.840999999999994</v>
      </c>
      <c r="M64" s="852">
        <v>97.257999999999996</v>
      </c>
      <c r="N64" s="438">
        <v>97.07</v>
      </c>
      <c r="O64" s="438">
        <v>95.424000000000007</v>
      </c>
      <c r="P64" s="438">
        <v>96.096000000000004</v>
      </c>
      <c r="Q64" s="438">
        <v>96.950999999999993</v>
      </c>
      <c r="R64" s="438">
        <v>95.209000000000003</v>
      </c>
      <c r="S64" s="438">
        <v>95.295000000000002</v>
      </c>
      <c r="T64" s="438">
        <v>95.778999999999996</v>
      </c>
      <c r="U64" s="438">
        <v>95.177000000000007</v>
      </c>
      <c r="V64" s="438">
        <v>97.59</v>
      </c>
      <c r="W64" s="438">
        <v>482.79899999999998</v>
      </c>
      <c r="X64" s="438">
        <v>961.84900000000005</v>
      </c>
    </row>
    <row r="65" spans="4:26" ht="16.5" customHeight="1" x14ac:dyDescent="0.35">
      <c r="D65" s="529" t="s">
        <v>1907</v>
      </c>
      <c r="E65" s="854">
        <v>41.3</v>
      </c>
      <c r="F65" s="854">
        <v>70.8</v>
      </c>
      <c r="G65" s="854">
        <v>69</v>
      </c>
      <c r="H65" s="438">
        <v>79.984999999999999</v>
      </c>
      <c r="I65" s="853">
        <v>100</v>
      </c>
      <c r="J65" s="837">
        <v>80.338000000000008</v>
      </c>
      <c r="K65" s="438">
        <v>3.1309999999999998</v>
      </c>
      <c r="L65" s="438">
        <v>5.7430000000000003</v>
      </c>
      <c r="M65" s="852">
        <v>7.4790000000000001</v>
      </c>
      <c r="N65" s="438">
        <v>8.5269999999999992</v>
      </c>
      <c r="O65" s="438">
        <v>10.417999999999999</v>
      </c>
      <c r="P65" s="438">
        <v>13.132999999999999</v>
      </c>
      <c r="Q65" s="438">
        <v>60.585000000000001</v>
      </c>
      <c r="R65" s="438">
        <v>111.67100000000001</v>
      </c>
      <c r="S65" s="438">
        <v>127.24</v>
      </c>
      <c r="T65" s="438">
        <v>135.52000000000001</v>
      </c>
      <c r="U65" s="438">
        <v>145.34800000000001</v>
      </c>
      <c r="V65" s="438">
        <v>154.94300000000001</v>
      </c>
      <c r="W65" s="438">
        <v>100.142</v>
      </c>
      <c r="X65" s="438">
        <v>774.86400000000003</v>
      </c>
      <c r="Y65" s="811"/>
      <c r="Z65" s="827"/>
    </row>
    <row r="66" spans="4:26" ht="16.5" customHeight="1" x14ac:dyDescent="0.35">
      <c r="D66" s="1234" t="s">
        <v>2328</v>
      </c>
      <c r="E66" s="768">
        <v>204.7</v>
      </c>
      <c r="F66" s="768">
        <v>230.2</v>
      </c>
      <c r="G66" s="768">
        <v>212</v>
      </c>
      <c r="H66" s="795">
        <v>371.83100000000002</v>
      </c>
      <c r="I66" s="495">
        <v>424.86700000000002</v>
      </c>
      <c r="J66" s="495">
        <v>419.584</v>
      </c>
      <c r="K66" s="495">
        <v>529.86699999999996</v>
      </c>
      <c r="L66" s="495">
        <f>L67+L68</f>
        <v>523.68100000000004</v>
      </c>
      <c r="M66" s="495">
        <f t="shared" ref="M66:Q66" si="27">M67+M68</f>
        <v>495.14699999999999</v>
      </c>
      <c r="N66" s="495">
        <f t="shared" si="27"/>
        <v>468.97699999999998</v>
      </c>
      <c r="O66" s="495">
        <f t="shared" si="27"/>
        <v>462.33800000000002</v>
      </c>
      <c r="P66" s="495">
        <f t="shared" si="27"/>
        <v>452.81200000000001</v>
      </c>
      <c r="Q66" s="495">
        <f t="shared" si="27"/>
        <v>450.154</v>
      </c>
      <c r="R66" s="850">
        <v>455.77699999999999</v>
      </c>
      <c r="S66" s="850">
        <v>467.89699999999999</v>
      </c>
      <c r="T66" s="850">
        <v>493.13400000000001</v>
      </c>
      <c r="U66" s="850">
        <v>503.37799999999999</v>
      </c>
      <c r="V66" s="850">
        <v>517.11500000000001</v>
      </c>
      <c r="W66" s="826"/>
      <c r="X66" s="811"/>
      <c r="Y66" s="811"/>
      <c r="Z66" s="827"/>
    </row>
    <row r="67" spans="4:26" ht="16.5" customHeight="1" x14ac:dyDescent="0.35">
      <c r="D67" s="805" t="s">
        <v>106</v>
      </c>
      <c r="E67" s="854">
        <v>204.7</v>
      </c>
      <c r="F67" s="854">
        <v>230.2</v>
      </c>
      <c r="G67" s="854">
        <v>212</v>
      </c>
      <c r="H67" s="438">
        <v>371.83100000000002</v>
      </c>
      <c r="I67" s="242">
        <v>424.86700000000002</v>
      </c>
      <c r="J67" s="242">
        <v>419.584</v>
      </c>
      <c r="K67" s="242">
        <v>529.86699999999996</v>
      </c>
      <c r="L67" s="242">
        <v>523.68100000000004</v>
      </c>
      <c r="M67" s="850">
        <v>495.14699999999999</v>
      </c>
      <c r="N67" s="850">
        <v>468.97699999999998</v>
      </c>
      <c r="O67" s="840">
        <v>462.33800000000002</v>
      </c>
      <c r="P67" s="850">
        <v>452.81200000000001</v>
      </c>
      <c r="Q67" s="850">
        <v>450.154</v>
      </c>
      <c r="R67" s="850">
        <v>455.77699999999999</v>
      </c>
      <c r="S67" s="850">
        <v>467.89699999999999</v>
      </c>
      <c r="T67" s="850">
        <v>493.13400000000001</v>
      </c>
      <c r="U67" s="850">
        <v>503.37799999999999</v>
      </c>
      <c r="V67" s="850">
        <v>517.11500000000001</v>
      </c>
      <c r="W67" s="826"/>
      <c r="X67" s="811"/>
      <c r="Y67" s="811"/>
      <c r="Z67" s="827"/>
    </row>
    <row r="68" spans="4:26" ht="16.5" customHeight="1" x14ac:dyDescent="0.35">
      <c r="D68" s="1235" t="s">
        <v>2327</v>
      </c>
      <c r="E68" s="854"/>
      <c r="F68" s="854"/>
      <c r="G68" s="854"/>
      <c r="H68" s="438"/>
      <c r="I68" s="242"/>
      <c r="J68" s="242"/>
      <c r="K68" s="242"/>
      <c r="L68" s="242"/>
      <c r="M68" s="850">
        <v>0</v>
      </c>
      <c r="N68" s="850">
        <v>0</v>
      </c>
      <c r="O68" s="840">
        <v>0</v>
      </c>
      <c r="P68" s="850">
        <v>0</v>
      </c>
      <c r="Q68" s="850">
        <v>0</v>
      </c>
      <c r="R68" s="850"/>
      <c r="S68" s="850"/>
      <c r="T68" s="850"/>
      <c r="U68" s="850"/>
      <c r="V68" s="850"/>
      <c r="W68" s="826"/>
      <c r="X68" s="811"/>
      <c r="Y68" s="811"/>
      <c r="Z68" s="827"/>
    </row>
    <row r="69" spans="4:26" ht="16.5" customHeight="1" x14ac:dyDescent="0.35">
      <c r="K69" s="74"/>
      <c r="L69" s="74"/>
      <c r="M69" s="74"/>
    </row>
    <row r="70" spans="4:26" x14ac:dyDescent="0.35">
      <c r="D70" s="604" t="s">
        <v>492</v>
      </c>
      <c r="E70" s="651">
        <v>2018</v>
      </c>
      <c r="F70" s="703">
        <v>2019</v>
      </c>
      <c r="G70" s="703">
        <v>2020</v>
      </c>
      <c r="H70" s="758">
        <v>2021</v>
      </c>
      <c r="I70" s="703">
        <v>2022</v>
      </c>
      <c r="J70" s="758">
        <v>2023</v>
      </c>
      <c r="K70" s="831">
        <v>2024</v>
      </c>
      <c r="L70" s="831">
        <v>2025</v>
      </c>
      <c r="M70" s="835">
        <v>2026</v>
      </c>
      <c r="O70" s="523" t="s">
        <v>493</v>
      </c>
    </row>
    <row r="71" spans="4:26" ht="14.9" customHeight="1" x14ac:dyDescent="0.35">
      <c r="D71" s="802" t="s">
        <v>489</v>
      </c>
      <c r="E71" s="317">
        <v>1622</v>
      </c>
      <c r="F71" s="317">
        <v>1687</v>
      </c>
      <c r="G71" s="859">
        <f t="shared" ref="G71:M71" si="28">G34</f>
        <v>1712.5250000000001</v>
      </c>
      <c r="H71" s="859">
        <f t="shared" si="28"/>
        <v>2025.3000000000002</v>
      </c>
      <c r="I71" s="859">
        <f t="shared" si="28"/>
        <v>2519.5</v>
      </c>
      <c r="J71" s="850">
        <f t="shared" si="28"/>
        <v>2083.336548518414</v>
      </c>
      <c r="K71" s="850">
        <f t="shared" si="28"/>
        <v>2322.2412923680117</v>
      </c>
      <c r="L71" s="850">
        <f t="shared" si="28"/>
        <v>2480.4432008874892</v>
      </c>
      <c r="M71" s="872">
        <f t="shared" si="28"/>
        <v>2538.9053988287119</v>
      </c>
    </row>
    <row r="72" spans="4:26" x14ac:dyDescent="0.35">
      <c r="D72" s="825" t="s">
        <v>494</v>
      </c>
      <c r="E72" s="229">
        <v>1332</v>
      </c>
      <c r="F72" s="229">
        <v>1388</v>
      </c>
      <c r="G72" s="850">
        <f t="shared" ref="G72:I74" si="29">G35</f>
        <v>1424.5250000000001</v>
      </c>
      <c r="H72" s="850">
        <f t="shared" si="29"/>
        <v>1509.7249999999999</v>
      </c>
      <c r="I72" s="850">
        <f t="shared" si="29"/>
        <v>1656.375</v>
      </c>
      <c r="J72" s="850">
        <f t="shared" ref="J72:M72" si="30">J35</f>
        <v>1802.5599531117082</v>
      </c>
      <c r="K72" s="850">
        <f t="shared" si="30"/>
        <v>1908.0368684134958</v>
      </c>
      <c r="L72" s="850">
        <f t="shared" si="30"/>
        <v>1963.5230627909452</v>
      </c>
      <c r="M72" s="872">
        <f t="shared" si="30"/>
        <v>2054.6673099258119</v>
      </c>
      <c r="N72" s="809"/>
    </row>
    <row r="73" spans="4:26" x14ac:dyDescent="0.35">
      <c r="D73" s="825" t="s">
        <v>105</v>
      </c>
      <c r="E73" s="229">
        <v>150</v>
      </c>
      <c r="F73" s="229">
        <v>175</v>
      </c>
      <c r="G73" s="850">
        <f t="shared" si="29"/>
        <v>160.375</v>
      </c>
      <c r="H73" s="850">
        <f t="shared" si="29"/>
        <v>171.3</v>
      </c>
      <c r="I73" s="850">
        <f t="shared" si="29"/>
        <v>203.05</v>
      </c>
      <c r="J73" s="850">
        <f t="shared" ref="J73:M73" si="31">J36</f>
        <v>168.63950531914898</v>
      </c>
      <c r="K73" s="850">
        <f t="shared" si="31"/>
        <v>112.9368420212766</v>
      </c>
      <c r="L73" s="850">
        <f t="shared" si="31"/>
        <v>105.39591063829786</v>
      </c>
      <c r="M73" s="872">
        <f t="shared" si="31"/>
        <v>113.12153111702128</v>
      </c>
      <c r="N73" s="809"/>
    </row>
    <row r="74" spans="4:26" x14ac:dyDescent="0.35">
      <c r="D74" s="785" t="s">
        <v>257</v>
      </c>
      <c r="E74" s="554">
        <v>208</v>
      </c>
      <c r="F74" s="554">
        <v>219</v>
      </c>
      <c r="G74" s="860">
        <f t="shared" si="29"/>
        <v>220.4</v>
      </c>
      <c r="H74" s="860">
        <f t="shared" si="29"/>
        <v>307.375</v>
      </c>
      <c r="I74" s="860">
        <f t="shared" si="29"/>
        <v>389.2</v>
      </c>
      <c r="J74" s="860">
        <f t="shared" ref="J74:M74" si="32">J37</f>
        <v>384.36050058018151</v>
      </c>
      <c r="K74" s="860">
        <f t="shared" si="32"/>
        <v>485.38539448815737</v>
      </c>
      <c r="L74" s="860">
        <f t="shared" si="32"/>
        <v>479.71870067574088</v>
      </c>
      <c r="M74" s="883">
        <f t="shared" si="32"/>
        <v>453.58009071074002</v>
      </c>
      <c r="O74" s="1333" t="s">
        <v>891</v>
      </c>
      <c r="P74" s="1333" t="s">
        <v>891</v>
      </c>
      <c r="Q74" s="1333" t="s">
        <v>891</v>
      </c>
      <c r="R74" s="1333" t="s">
        <v>891</v>
      </c>
      <c r="S74" s="1333" t="s">
        <v>891</v>
      </c>
      <c r="T74" s="1333" t="s">
        <v>891</v>
      </c>
      <c r="U74" s="1333" t="s">
        <v>891</v>
      </c>
      <c r="V74" s="1334" t="s">
        <v>891</v>
      </c>
    </row>
    <row r="75" spans="4:26" ht="14.9" customHeight="1" x14ac:dyDescent="0.35">
      <c r="D75" s="265"/>
      <c r="E75" s="229"/>
      <c r="F75" s="229"/>
      <c r="G75" s="229"/>
      <c r="P75" s="1335">
        <v>2022</v>
      </c>
      <c r="Q75" s="1336">
        <v>2022</v>
      </c>
      <c r="R75" s="1336">
        <v>2022</v>
      </c>
      <c r="S75" s="1337">
        <v>2022</v>
      </c>
    </row>
    <row r="76" spans="4:26" ht="17.25" customHeight="1" x14ac:dyDescent="0.35">
      <c r="D76" s="230" t="s">
        <v>496</v>
      </c>
      <c r="E76" s="229"/>
      <c r="F76" s="229"/>
      <c r="G76" s="229"/>
      <c r="P76" s="152" t="s">
        <v>892</v>
      </c>
      <c r="Q76" s="152" t="s">
        <v>893</v>
      </c>
      <c r="R76" s="152" t="s">
        <v>894</v>
      </c>
      <c r="S76" s="152" t="s">
        <v>895</v>
      </c>
      <c r="T76" s="122" t="s">
        <v>907</v>
      </c>
    </row>
    <row r="77" spans="4:26" ht="30" customHeight="1" x14ac:dyDescent="0.35">
      <c r="D77" s="867" t="s">
        <v>497</v>
      </c>
      <c r="E77" s="703">
        <v>2018</v>
      </c>
      <c r="F77" s="703">
        <v>2019</v>
      </c>
      <c r="G77" s="703">
        <v>2020</v>
      </c>
      <c r="H77" s="758">
        <v>2021</v>
      </c>
      <c r="I77" s="703">
        <v>2022</v>
      </c>
      <c r="J77" s="703">
        <v>2023</v>
      </c>
      <c r="K77" s="858">
        <v>2024</v>
      </c>
      <c r="L77" s="858">
        <v>2025</v>
      </c>
      <c r="M77" s="835">
        <v>2026</v>
      </c>
      <c r="O77" s="31" t="s">
        <v>495</v>
      </c>
      <c r="P77" s="156">
        <v>2973</v>
      </c>
      <c r="Q77" s="156">
        <v>3062.8</v>
      </c>
      <c r="R77" s="156">
        <v>3085.2</v>
      </c>
      <c r="S77" s="765">
        <v>2106.1999999999998</v>
      </c>
      <c r="T77" s="156">
        <v>3123.2</v>
      </c>
    </row>
    <row r="78" spans="4:26" x14ac:dyDescent="0.35">
      <c r="D78" s="802" t="s">
        <v>489</v>
      </c>
      <c r="E78" s="868">
        <f t="shared" ref="E78:M78" si="33">E71/E58</f>
        <v>0.96346896346896349</v>
      </c>
      <c r="F78" s="868">
        <f t="shared" si="33"/>
        <v>0.98201292275452579</v>
      </c>
      <c r="G78" s="868">
        <f t="shared" si="33"/>
        <v>1.0643412057178372</v>
      </c>
      <c r="H78" s="868">
        <f t="shared" si="33"/>
        <v>0.99066855085925942</v>
      </c>
      <c r="I78" s="868">
        <f t="shared" si="33"/>
        <v>0.95720410539692913</v>
      </c>
      <c r="J78" s="868">
        <f t="shared" si="33"/>
        <v>0.95720410539692913</v>
      </c>
      <c r="K78" s="868">
        <f t="shared" si="33"/>
        <v>0.95720410539692913</v>
      </c>
      <c r="L78" s="868">
        <f t="shared" si="33"/>
        <v>0.95720410539692913</v>
      </c>
      <c r="M78" s="851">
        <f t="shared" si="33"/>
        <v>0.95720410539692902</v>
      </c>
      <c r="T78" s="234"/>
    </row>
    <row r="79" spans="4:26" x14ac:dyDescent="0.35">
      <c r="D79" s="825" t="s">
        <v>494</v>
      </c>
      <c r="E79" s="622">
        <f t="shared" ref="E79:M79" si="34">E72/E62</f>
        <v>1.1377808148970701</v>
      </c>
      <c r="F79" s="622">
        <f t="shared" si="34"/>
        <v>1.1162940324915553</v>
      </c>
      <c r="G79" s="622">
        <f t="shared" si="34"/>
        <v>1.0874236641221375</v>
      </c>
      <c r="H79" s="622">
        <f t="shared" si="34"/>
        <v>1.1488766353547097</v>
      </c>
      <c r="I79" s="622">
        <f t="shared" si="34"/>
        <v>1.1165122822249154</v>
      </c>
      <c r="J79" s="622">
        <f t="shared" si="34"/>
        <v>1.1165122822249156</v>
      </c>
      <c r="K79" s="622">
        <f t="shared" si="34"/>
        <v>1.1165122822249154</v>
      </c>
      <c r="L79" s="622">
        <f t="shared" si="34"/>
        <v>1.1165122822249154</v>
      </c>
      <c r="M79" s="623">
        <f t="shared" si="34"/>
        <v>1.1165122822249154</v>
      </c>
    </row>
    <row r="80" spans="4:26" x14ac:dyDescent="0.35">
      <c r="D80" s="825" t="s">
        <v>105</v>
      </c>
      <c r="E80" s="622">
        <f t="shared" ref="E80:M80" si="35">E73/E63</f>
        <v>1.1005135730007336</v>
      </c>
      <c r="F80" s="622">
        <f t="shared" si="35"/>
        <v>1.0257913247362251</v>
      </c>
      <c r="G80" s="622">
        <f t="shared" si="35"/>
        <v>1.0280448717948718</v>
      </c>
      <c r="H80" s="622">
        <f t="shared" si="35"/>
        <v>1.1033176820667401</v>
      </c>
      <c r="I80" s="622">
        <f t="shared" si="35"/>
        <v>1.0800531914893619</v>
      </c>
      <c r="J80" s="622">
        <f t="shared" si="35"/>
        <v>1.0800531914893619</v>
      </c>
      <c r="K80" s="622">
        <f t="shared" si="35"/>
        <v>1.0800531914893619</v>
      </c>
      <c r="L80" s="622">
        <f t="shared" si="35"/>
        <v>1.0800531914893616</v>
      </c>
      <c r="M80" s="623">
        <f t="shared" si="35"/>
        <v>1.0800531914893619</v>
      </c>
    </row>
    <row r="81" spans="4:22" x14ac:dyDescent="0.35">
      <c r="D81" s="785" t="s">
        <v>257</v>
      </c>
      <c r="E81" s="787">
        <f t="shared" ref="E81:I81" si="36">E74/E66</f>
        <v>1.0161211529066927</v>
      </c>
      <c r="F81" s="787">
        <f t="shared" si="36"/>
        <v>0.95134665508253702</v>
      </c>
      <c r="G81" s="787">
        <f t="shared" si="36"/>
        <v>1.0396226415094341</v>
      </c>
      <c r="H81" s="787">
        <f t="shared" si="36"/>
        <v>0.82665243080862005</v>
      </c>
      <c r="I81" s="787">
        <f t="shared" si="36"/>
        <v>0.91605137607769016</v>
      </c>
      <c r="J81" s="787">
        <f t="shared" ref="J81:M81" si="37">J74/J64</f>
        <v>5.070585216487447</v>
      </c>
      <c r="K81" s="787">
        <f t="shared" si="37"/>
        <v>4.7851865183433464</v>
      </c>
      <c r="L81" s="787">
        <f t="shared" si="37"/>
        <v>5.2233610334789571</v>
      </c>
      <c r="M81" s="834">
        <f t="shared" si="37"/>
        <v>4.6636789848726075</v>
      </c>
    </row>
    <row r="83" spans="4:22" x14ac:dyDescent="0.35">
      <c r="D83" s="265"/>
      <c r="E83" s="229"/>
      <c r="F83" s="229"/>
      <c r="G83" s="229"/>
    </row>
    <row r="84" spans="4:22" x14ac:dyDescent="0.35">
      <c r="D84" s="245"/>
    </row>
    <row r="85" spans="4:22" ht="30" customHeight="1" x14ac:dyDescent="0.35">
      <c r="D85" s="842" t="s">
        <v>1967</v>
      </c>
      <c r="E85" s="651">
        <v>2018</v>
      </c>
      <c r="F85" s="766">
        <v>2019</v>
      </c>
      <c r="G85" s="766">
        <v>2020</v>
      </c>
      <c r="H85" s="838">
        <v>2021</v>
      </c>
      <c r="I85" s="766">
        <v>2022</v>
      </c>
      <c r="J85" s="766">
        <v>2023</v>
      </c>
      <c r="K85" s="769">
        <v>2024</v>
      </c>
      <c r="L85" s="769">
        <v>2025</v>
      </c>
      <c r="M85" s="835">
        <v>2026</v>
      </c>
    </row>
    <row r="86" spans="4:22" x14ac:dyDescent="0.35">
      <c r="D86" s="567" t="s">
        <v>1910</v>
      </c>
      <c r="E86" s="375">
        <v>14016.099999999999</v>
      </c>
      <c r="F86" s="375">
        <v>14604.2</v>
      </c>
      <c r="G86" s="375">
        <v>14711.300000000001</v>
      </c>
      <c r="H86" s="813">
        <v>21015.3</v>
      </c>
      <c r="I86" s="375">
        <v>21762.3</v>
      </c>
      <c r="J86" s="375">
        <v>23112</v>
      </c>
      <c r="K86" s="375">
        <v>24369</v>
      </c>
      <c r="L86" s="375">
        <v>25562.2</v>
      </c>
      <c r="M86" s="836">
        <v>26815.3</v>
      </c>
      <c r="N86" s="438">
        <v>28003.5</v>
      </c>
      <c r="O86" s="438">
        <v>29281.8</v>
      </c>
      <c r="P86" s="438">
        <v>30603</v>
      </c>
      <c r="Q86" s="438">
        <v>31928</v>
      </c>
      <c r="R86" s="438">
        <v>33261.4</v>
      </c>
      <c r="S86" s="438">
        <v>34629.4</v>
      </c>
      <c r="T86" s="438">
        <v>36043</v>
      </c>
      <c r="U86" s="438">
        <v>37506.6</v>
      </c>
      <c r="V86" s="438">
        <v>39046.400000000001</v>
      </c>
    </row>
    <row r="87" spans="4:22" x14ac:dyDescent="0.35">
      <c r="D87" s="825" t="s">
        <v>499</v>
      </c>
      <c r="E87" s="229">
        <v>8804</v>
      </c>
      <c r="F87" s="229">
        <v>9209</v>
      </c>
      <c r="G87" s="438">
        <v>9300</v>
      </c>
      <c r="H87" s="866">
        <v>10074.1</v>
      </c>
      <c r="I87" s="438">
        <v>10981.9</v>
      </c>
      <c r="J87" s="438">
        <v>11567.7</v>
      </c>
      <c r="K87" s="438">
        <v>12251.7</v>
      </c>
      <c r="L87" s="438">
        <v>12861.2</v>
      </c>
      <c r="M87" s="852">
        <v>13479</v>
      </c>
      <c r="N87" s="438">
        <v>14051.2</v>
      </c>
      <c r="O87" s="438">
        <v>14645.1</v>
      </c>
      <c r="P87" s="438">
        <v>15252.3</v>
      </c>
      <c r="Q87" s="438">
        <v>15861.9</v>
      </c>
      <c r="R87" s="438">
        <v>16483.3</v>
      </c>
      <c r="S87" s="438">
        <v>17122.599999999999</v>
      </c>
      <c r="T87" s="438">
        <v>17774.400000000001</v>
      </c>
      <c r="U87" s="438">
        <v>18450.599999999999</v>
      </c>
      <c r="V87" s="438">
        <v>19151.3</v>
      </c>
    </row>
    <row r="88" spans="4:22" x14ac:dyDescent="0.35">
      <c r="D88" s="825" t="s">
        <v>500</v>
      </c>
      <c r="E88" s="229">
        <v>13844</v>
      </c>
      <c r="F88" s="229">
        <v>14403</v>
      </c>
      <c r="G88" s="438">
        <v>14201</v>
      </c>
      <c r="H88" s="866">
        <v>15545.1</v>
      </c>
      <c r="I88" s="438">
        <v>17367.8</v>
      </c>
      <c r="J88" s="438">
        <v>18557.3</v>
      </c>
      <c r="K88" s="438">
        <v>19551.5</v>
      </c>
      <c r="L88" s="438">
        <v>20519.400000000001</v>
      </c>
      <c r="M88" s="852">
        <v>21319.200000000001</v>
      </c>
      <c r="N88" s="438">
        <v>22072.799999999999</v>
      </c>
      <c r="O88" s="438">
        <v>22860.5</v>
      </c>
      <c r="P88" s="438">
        <v>23741.7</v>
      </c>
      <c r="Q88" s="438">
        <v>24698.799999999999</v>
      </c>
      <c r="R88" s="438">
        <v>25739.1</v>
      </c>
      <c r="S88" s="438">
        <v>26824.9</v>
      </c>
      <c r="T88" s="438">
        <v>27957.200000000001</v>
      </c>
      <c r="U88" s="438">
        <v>29140.3</v>
      </c>
      <c r="V88" s="438">
        <v>30362.400000000001</v>
      </c>
    </row>
    <row r="89" spans="4:22" x14ac:dyDescent="0.35">
      <c r="D89" s="785" t="s">
        <v>1909</v>
      </c>
      <c r="E89" s="795">
        <v>2335</v>
      </c>
      <c r="F89" s="795">
        <v>2442</v>
      </c>
      <c r="G89" s="795">
        <v>2392</v>
      </c>
      <c r="H89" s="770">
        <v>2796</v>
      </c>
      <c r="I89" s="795">
        <v>3262.7</v>
      </c>
      <c r="J89" s="795">
        <v>3457.5</v>
      </c>
      <c r="K89" s="795">
        <v>3764.8</v>
      </c>
      <c r="L89" s="795">
        <v>3887.7</v>
      </c>
      <c r="M89" s="843">
        <v>3921.8</v>
      </c>
      <c r="N89" s="438">
        <v>3946.5</v>
      </c>
      <c r="O89" s="438">
        <v>3943.2</v>
      </c>
      <c r="P89" s="438">
        <v>3951.3</v>
      </c>
      <c r="Q89" s="438">
        <v>4036.5</v>
      </c>
      <c r="R89" s="438">
        <v>4193.8</v>
      </c>
      <c r="S89" s="438">
        <v>4390.6000000000004</v>
      </c>
      <c r="T89" s="438">
        <v>4585.7</v>
      </c>
      <c r="U89" s="438">
        <v>4776.3999999999996</v>
      </c>
      <c r="V89" s="438">
        <v>4969</v>
      </c>
    </row>
    <row r="91" spans="4:22" x14ac:dyDescent="0.35">
      <c r="D91" s="245" t="s">
        <v>501</v>
      </c>
    </row>
    <row r="92" spans="4:22" x14ac:dyDescent="0.35">
      <c r="D92" s="604" t="s">
        <v>502</v>
      </c>
      <c r="E92" s="703">
        <v>2018</v>
      </c>
      <c r="F92" s="766">
        <v>2019</v>
      </c>
      <c r="G92" s="766">
        <v>2020</v>
      </c>
      <c r="H92" s="838">
        <v>2021</v>
      </c>
      <c r="I92" s="766">
        <v>2022</v>
      </c>
      <c r="J92" s="766">
        <v>2023</v>
      </c>
      <c r="K92" s="769">
        <v>2024</v>
      </c>
      <c r="L92" s="769">
        <v>2025</v>
      </c>
      <c r="M92" s="835">
        <v>2026</v>
      </c>
    </row>
    <row r="93" spans="4:22" x14ac:dyDescent="0.35">
      <c r="D93" s="861" t="s">
        <v>489</v>
      </c>
      <c r="E93" s="862">
        <f t="shared" ref="E93:M93" si="38">E58/E86</f>
        <v>0.12011187134794987</v>
      </c>
      <c r="F93" s="862">
        <f t="shared" si="38"/>
        <v>0.11763054463784391</v>
      </c>
      <c r="G93" s="862">
        <f t="shared" si="38"/>
        <v>0.10937170746297063</v>
      </c>
      <c r="H93" s="862">
        <f t="shared" si="38"/>
        <v>9.7280409987009472E-2</v>
      </c>
      <c r="I93" s="862">
        <f t="shared" si="38"/>
        <v>0.12094976174393332</v>
      </c>
      <c r="J93" s="862">
        <f t="shared" si="38"/>
        <v>9.417103669089652E-2</v>
      </c>
      <c r="K93" s="862">
        <f t="shared" si="38"/>
        <v>9.9555459805490576E-2</v>
      </c>
      <c r="L93" s="862">
        <f t="shared" si="38"/>
        <v>0.10137398189514205</v>
      </c>
      <c r="M93" s="862">
        <f t="shared" si="38"/>
        <v>9.8914351135359305E-2</v>
      </c>
    </row>
    <row r="94" spans="4:22" x14ac:dyDescent="0.35">
      <c r="D94" s="873" t="s">
        <v>490</v>
      </c>
      <c r="E94" s="821">
        <f t="shared" ref="E94:M94" si="39">E62/E87</f>
        <v>0.13297364834166289</v>
      </c>
      <c r="F94" s="821">
        <f t="shared" si="39"/>
        <v>0.13502008904332718</v>
      </c>
      <c r="G94" s="821">
        <f t="shared" si="39"/>
        <v>0.14086021505376345</v>
      </c>
      <c r="H94" s="821">
        <f t="shared" si="39"/>
        <v>0.13044222312663165</v>
      </c>
      <c r="I94" s="821">
        <f t="shared" si="39"/>
        <v>0.13508828162704087</v>
      </c>
      <c r="J94" s="821">
        <f t="shared" si="39"/>
        <v>0.13956586011048003</v>
      </c>
      <c r="K94" s="821">
        <f t="shared" si="39"/>
        <v>0.13948480619016135</v>
      </c>
      <c r="L94" s="821">
        <f t="shared" si="39"/>
        <v>0.13673856249805616</v>
      </c>
      <c r="M94" s="821">
        <f t="shared" si="39"/>
        <v>0.13652756139179464</v>
      </c>
    </row>
    <row r="95" spans="4:22" x14ac:dyDescent="0.35">
      <c r="D95" s="825" t="s">
        <v>503</v>
      </c>
      <c r="E95" s="821">
        <f t="shared" ref="E95:M95" si="40">E63/E88</f>
        <v>9.8454203987286912E-3</v>
      </c>
      <c r="F95" s="821">
        <f t="shared" si="40"/>
        <v>1.1844754565021176E-2</v>
      </c>
      <c r="G95" s="821">
        <f t="shared" si="40"/>
        <v>1.0985141891416098E-2</v>
      </c>
      <c r="H95" s="821">
        <f t="shared" si="40"/>
        <v>9.9876488411139216E-3</v>
      </c>
      <c r="I95" s="821">
        <f t="shared" si="40"/>
        <v>1.0824629486751345E-2</v>
      </c>
      <c r="J95" s="821">
        <f t="shared" si="40"/>
        <v>8.4139395278407976E-3</v>
      </c>
      <c r="K95" s="821">
        <f t="shared" si="40"/>
        <v>5.3482341508324172E-3</v>
      </c>
      <c r="L95" s="821">
        <f t="shared" si="40"/>
        <v>4.7556946109535356E-3</v>
      </c>
      <c r="M95" s="821">
        <f t="shared" si="40"/>
        <v>4.9128016060640172E-3</v>
      </c>
    </row>
    <row r="96" spans="4:22" x14ac:dyDescent="0.35">
      <c r="D96" s="874" t="s">
        <v>106</v>
      </c>
      <c r="E96" s="789">
        <f t="shared" ref="E96:L96" si="41">E66/E89</f>
        <v>8.7665952890792292E-2</v>
      </c>
      <c r="F96" s="789">
        <f t="shared" si="41"/>
        <v>9.4266994266994267E-2</v>
      </c>
      <c r="G96" s="789">
        <f t="shared" si="41"/>
        <v>8.8628762541806017E-2</v>
      </c>
      <c r="H96" s="789">
        <f t="shared" si="41"/>
        <v>0.13298676680972818</v>
      </c>
      <c r="I96" s="789">
        <f t="shared" si="41"/>
        <v>0.13021945014864991</v>
      </c>
      <c r="J96" s="789">
        <f t="shared" si="41"/>
        <v>0.12135473608098336</v>
      </c>
      <c r="K96" s="789">
        <f t="shared" si="41"/>
        <v>0.14074240331491711</v>
      </c>
      <c r="L96" s="789">
        <f t="shared" si="41"/>
        <v>0.1347020088998637</v>
      </c>
      <c r="M96" s="789">
        <f t="shared" ref="M96" si="42">M66/M89</f>
        <v>0.12625503595287876</v>
      </c>
    </row>
    <row r="98" spans="4:72" x14ac:dyDescent="0.35">
      <c r="D98" s="245" t="s">
        <v>504</v>
      </c>
    </row>
    <row r="99" spans="4:72" x14ac:dyDescent="0.35">
      <c r="D99" s="878" t="s">
        <v>351</v>
      </c>
    </row>
    <row r="100" spans="4:72" x14ac:dyDescent="0.35">
      <c r="D100" s="604" t="s">
        <v>505</v>
      </c>
      <c r="E100" s="703">
        <v>2018</v>
      </c>
      <c r="F100" s="766">
        <v>2019</v>
      </c>
      <c r="G100" s="838">
        <v>2020</v>
      </c>
      <c r="H100" s="766">
        <v>2021</v>
      </c>
      <c r="I100" s="766">
        <v>2022</v>
      </c>
      <c r="J100" s="766">
        <v>2023</v>
      </c>
      <c r="K100" s="769">
        <v>2024</v>
      </c>
      <c r="L100" s="769">
        <v>2025</v>
      </c>
      <c r="M100" s="835">
        <v>2026</v>
      </c>
    </row>
    <row r="101" spans="4:72" ht="20.25" customHeight="1" x14ac:dyDescent="0.35">
      <c r="D101" s="861" t="s">
        <v>489</v>
      </c>
      <c r="E101" s="862">
        <f t="shared" ref="E101:G104" si="43">E93*E78</f>
        <v>0.11572406018792676</v>
      </c>
      <c r="F101" s="862">
        <f t="shared" si="43"/>
        <v>0.11551471494501581</v>
      </c>
      <c r="G101" s="862">
        <f t="shared" si="43"/>
        <v>0.11640881499255673</v>
      </c>
      <c r="H101" s="862">
        <f>N120</f>
        <v>0.13102202825485806</v>
      </c>
      <c r="I101" s="862">
        <f>H101</f>
        <v>0.13102202825485806</v>
      </c>
      <c r="J101" s="862">
        <f t="shared" ref="J101" si="44">I101</f>
        <v>0.13102202825485806</v>
      </c>
      <c r="K101" s="862">
        <f>J101</f>
        <v>0.13102202825485806</v>
      </c>
      <c r="L101" s="862">
        <f>K101</f>
        <v>0.13102202825485806</v>
      </c>
      <c r="M101" s="863"/>
      <c r="N101" s="875"/>
      <c r="O101" s="821"/>
      <c r="P101" s="821"/>
      <c r="Q101" s="821"/>
      <c r="R101" s="821"/>
      <c r="S101" s="821"/>
      <c r="T101" s="821"/>
      <c r="U101" s="821"/>
      <c r="V101" s="821"/>
      <c r="W101" s="821"/>
      <c r="X101" s="821"/>
      <c r="Y101" s="821"/>
    </row>
    <row r="102" spans="4:72" ht="18.75" customHeight="1" x14ac:dyDescent="0.35">
      <c r="D102" s="873" t="s">
        <v>490</v>
      </c>
      <c r="E102" s="821">
        <f t="shared" si="43"/>
        <v>0.15129486597001363</v>
      </c>
      <c r="F102" s="821">
        <f t="shared" si="43"/>
        <v>0.15072211966554458</v>
      </c>
      <c r="G102" s="821">
        <f t="shared" si="43"/>
        <v>0.15317473118279573</v>
      </c>
      <c r="H102" s="821">
        <f>N122</f>
        <v>0.14952123741713724</v>
      </c>
      <c r="I102" s="821">
        <f>H102</f>
        <v>0.14952123741713724</v>
      </c>
      <c r="J102" s="821">
        <f>I102</f>
        <v>0.14952123741713724</v>
      </c>
      <c r="K102" s="821">
        <f t="shared" ref="K102:L102" si="45">J102</f>
        <v>0.14952123741713724</v>
      </c>
      <c r="L102" s="821">
        <f t="shared" si="45"/>
        <v>0.14952123741713724</v>
      </c>
      <c r="M102" s="864"/>
      <c r="N102" s="875"/>
      <c r="O102" s="821"/>
      <c r="P102" s="821"/>
      <c r="Q102" s="821"/>
      <c r="R102" s="821"/>
      <c r="S102" s="821"/>
      <c r="T102" s="821"/>
      <c r="U102" s="821"/>
      <c r="V102" s="821"/>
      <c r="W102" s="821"/>
      <c r="X102" s="821"/>
      <c r="Y102" s="821"/>
    </row>
    <row r="103" spans="4:72" ht="19.399999999999999" customHeight="1" x14ac:dyDescent="0.35">
      <c r="D103" s="825" t="s">
        <v>105</v>
      </c>
      <c r="E103" s="821">
        <f t="shared" si="43"/>
        <v>1.0835018780699219E-2</v>
      </c>
      <c r="F103" s="821">
        <f t="shared" si="43"/>
        <v>1.2150246476428523E-2</v>
      </c>
      <c r="G103" s="821">
        <f t="shared" si="43"/>
        <v>1.1293218787409338E-2</v>
      </c>
      <c r="H103" s="821">
        <f>N123</f>
        <v>1.1269768922909786E-2</v>
      </c>
      <c r="I103" s="821">
        <f>AVERAGE($F80:$G80)*I95</f>
        <v>1.1116007926963869E-2</v>
      </c>
      <c r="J103" s="821">
        <f>AVERAGE($F80:$G80)*J95</f>
        <v>8.6404267788515975E-3</v>
      </c>
      <c r="K103" s="821">
        <f>J103</f>
        <v>8.6404267788515975E-3</v>
      </c>
      <c r="L103" s="821">
        <f>K103</f>
        <v>8.6404267788515975E-3</v>
      </c>
      <c r="M103" s="864"/>
      <c r="N103" s="875"/>
      <c r="O103" s="821"/>
      <c r="P103" s="821"/>
      <c r="Q103" s="821"/>
      <c r="R103" s="821"/>
      <c r="S103" s="821"/>
      <c r="T103" s="821"/>
      <c r="U103" s="821"/>
      <c r="V103" s="821"/>
      <c r="W103" s="821"/>
      <c r="X103" s="821"/>
      <c r="Y103" s="821"/>
    </row>
    <row r="104" spans="4:72" ht="19.399999999999999" customHeight="1" x14ac:dyDescent="0.35">
      <c r="D104" s="874" t="s">
        <v>106</v>
      </c>
      <c r="E104" s="789">
        <f t="shared" si="43"/>
        <v>8.9079229122055667E-2</v>
      </c>
      <c r="F104" s="789">
        <f t="shared" si="43"/>
        <v>8.9680589680589687E-2</v>
      </c>
      <c r="G104" s="789">
        <f t="shared" si="43"/>
        <v>9.2140468227424749E-2</v>
      </c>
      <c r="H104" s="789">
        <f>M124</f>
        <v>0.11887481034977652</v>
      </c>
      <c r="I104" s="789">
        <f>N124</f>
        <v>0.12443013242636948</v>
      </c>
      <c r="J104" s="789">
        <f>I104</f>
        <v>0.12443013242636948</v>
      </c>
      <c r="K104" s="789">
        <f>J104</f>
        <v>0.12443013242636948</v>
      </c>
      <c r="L104" s="789">
        <f>K104</f>
        <v>0.12443013242636948</v>
      </c>
      <c r="M104" s="865"/>
      <c r="N104" s="875"/>
      <c r="O104" s="821"/>
      <c r="P104" s="821"/>
      <c r="Q104" s="821"/>
      <c r="R104" s="821"/>
      <c r="S104" s="821"/>
      <c r="T104" s="821"/>
      <c r="U104" s="821"/>
      <c r="V104" s="821"/>
      <c r="W104" s="821"/>
      <c r="X104" s="821"/>
      <c r="Y104" s="821"/>
    </row>
    <row r="105" spans="4:72" x14ac:dyDescent="0.35">
      <c r="E105" s="676"/>
      <c r="F105" s="676"/>
      <c r="G105" s="676"/>
      <c r="H105" s="676"/>
      <c r="I105" s="676"/>
      <c r="J105" s="676"/>
      <c r="K105" s="676"/>
      <c r="L105" s="676"/>
    </row>
    <row r="106" spans="4:72" x14ac:dyDescent="0.35">
      <c r="D106" s="877" t="s">
        <v>364</v>
      </c>
      <c r="E106" s="821"/>
      <c r="F106" s="821"/>
      <c r="G106" s="821"/>
      <c r="H106" s="821"/>
      <c r="I106" s="821"/>
      <c r="J106" s="821"/>
      <c r="K106" s="821"/>
      <c r="L106" s="821"/>
      <c r="M106" s="821"/>
      <c r="N106" s="821"/>
      <c r="O106" s="821"/>
      <c r="P106" s="821"/>
      <c r="Q106" s="821"/>
      <c r="R106" s="821"/>
      <c r="S106" s="821"/>
      <c r="T106" s="821"/>
      <c r="U106" s="821"/>
      <c r="V106" s="821"/>
      <c r="W106" s="821"/>
      <c r="X106" s="821"/>
      <c r="Y106" s="821"/>
    </row>
    <row r="107" spans="4:72" x14ac:dyDescent="0.35">
      <c r="D107" s="1398" t="s">
        <v>1968</v>
      </c>
      <c r="E107" s="1410"/>
      <c r="F107" s="1264">
        <v>2019</v>
      </c>
      <c r="G107" s="1359"/>
      <c r="H107" s="1266"/>
      <c r="I107" s="1264">
        <v>2020</v>
      </c>
      <c r="J107" s="1359"/>
      <c r="K107" s="1359"/>
      <c r="L107" s="1266"/>
      <c r="M107" s="1264">
        <v>2021</v>
      </c>
      <c r="N107" s="1359"/>
      <c r="O107" s="1359"/>
      <c r="P107" s="1359"/>
      <c r="Q107" s="1264">
        <v>2022</v>
      </c>
      <c r="R107" s="1265"/>
      <c r="S107" s="1265"/>
      <c r="T107" s="1266"/>
      <c r="U107" s="299"/>
      <c r="V107" s="299">
        <v>2023</v>
      </c>
      <c r="W107" s="439"/>
      <c r="X107" s="306"/>
      <c r="Y107" s="453"/>
      <c r="Z107" s="439">
        <v>2024</v>
      </c>
      <c r="AA107" s="439"/>
      <c r="AB107" s="332"/>
      <c r="AC107" s="1270">
        <v>2025</v>
      </c>
      <c r="AD107" s="1352"/>
      <c r="AE107" s="1352"/>
      <c r="AF107" s="1272"/>
      <c r="AG107" s="1270">
        <v>2026</v>
      </c>
      <c r="AH107" s="1352"/>
      <c r="AI107" s="1352"/>
      <c r="AJ107" s="1272"/>
      <c r="AK107" s="1270">
        <v>2027</v>
      </c>
      <c r="AL107" s="1352"/>
      <c r="AM107" s="1352"/>
      <c r="AN107" s="1272"/>
    </row>
    <row r="108" spans="4:72" x14ac:dyDescent="0.35">
      <c r="D108" s="1411"/>
      <c r="E108" s="1412"/>
      <c r="F108" s="221" t="s">
        <v>283</v>
      </c>
      <c r="G108" s="222" t="s">
        <v>238</v>
      </c>
      <c r="H108" s="228" t="s">
        <v>281</v>
      </c>
      <c r="I108" s="221" t="s">
        <v>282</v>
      </c>
      <c r="J108" s="222" t="s">
        <v>283</v>
      </c>
      <c r="K108" s="222" t="s">
        <v>238</v>
      </c>
      <c r="L108" s="228" t="s">
        <v>281</v>
      </c>
      <c r="M108" s="221" t="s">
        <v>282</v>
      </c>
      <c r="N108" s="222" t="s">
        <v>283</v>
      </c>
      <c r="O108" s="222" t="s">
        <v>238</v>
      </c>
      <c r="P108" s="222" t="s">
        <v>281</v>
      </c>
      <c r="Q108" s="221" t="s">
        <v>282</v>
      </c>
      <c r="R108" s="222" t="s">
        <v>283</v>
      </c>
      <c r="S108" s="222" t="s">
        <v>238</v>
      </c>
      <c r="T108" s="228" t="s">
        <v>281</v>
      </c>
      <c r="U108" s="222" t="s">
        <v>282</v>
      </c>
      <c r="V108" s="283" t="s">
        <v>283</v>
      </c>
      <c r="W108" s="283" t="s">
        <v>238</v>
      </c>
      <c r="X108" s="281" t="s">
        <v>281</v>
      </c>
      <c r="Y108" s="282" t="s">
        <v>282</v>
      </c>
      <c r="Z108" s="288" t="s">
        <v>283</v>
      </c>
      <c r="AA108" s="283" t="s">
        <v>238</v>
      </c>
      <c r="AB108" s="269" t="s">
        <v>281</v>
      </c>
      <c r="AC108" s="296" t="s">
        <v>282</v>
      </c>
      <c r="AD108" s="267" t="s">
        <v>283</v>
      </c>
      <c r="AE108" s="269" t="s">
        <v>238</v>
      </c>
      <c r="AF108" s="269" t="s">
        <v>281</v>
      </c>
      <c r="AG108" s="296" t="s">
        <v>282</v>
      </c>
      <c r="AH108" s="267" t="s">
        <v>283</v>
      </c>
      <c r="AI108" s="269" t="s">
        <v>238</v>
      </c>
      <c r="AJ108" s="298" t="s">
        <v>281</v>
      </c>
      <c r="AK108" s="296" t="s">
        <v>282</v>
      </c>
      <c r="AL108" s="267" t="s">
        <v>283</v>
      </c>
      <c r="AM108" s="269" t="s">
        <v>238</v>
      </c>
      <c r="AN108" s="298" t="s">
        <v>281</v>
      </c>
    </row>
    <row r="109" spans="4:72" x14ac:dyDescent="0.35">
      <c r="D109" s="881" t="s">
        <v>498</v>
      </c>
      <c r="E109" s="771"/>
      <c r="F109" s="375">
        <f t="shared" ref="F109:AC109" si="46">F110+F111</f>
        <v>0</v>
      </c>
      <c r="G109" s="375">
        <f t="shared" si="46"/>
        <v>0</v>
      </c>
      <c r="H109" s="375">
        <f t="shared" si="46"/>
        <v>0</v>
      </c>
      <c r="I109" s="375">
        <f t="shared" si="46"/>
        <v>15134.800000000001</v>
      </c>
      <c r="J109" s="375">
        <f t="shared" si="46"/>
        <v>14265.5</v>
      </c>
      <c r="K109" s="375">
        <f t="shared" si="46"/>
        <v>14943.5</v>
      </c>
      <c r="L109" s="375">
        <f t="shared" si="46"/>
        <v>15319.300000000001</v>
      </c>
      <c r="M109" s="375">
        <f t="shared" si="46"/>
        <v>15399.800000000001</v>
      </c>
      <c r="N109" s="375">
        <f t="shared" si="46"/>
        <v>15959.6</v>
      </c>
      <c r="O109" s="375">
        <f t="shared" si="46"/>
        <v>16325.6</v>
      </c>
      <c r="P109" s="375">
        <f t="shared" si="46"/>
        <v>16677.3</v>
      </c>
      <c r="Q109" s="375">
        <f t="shared" si="46"/>
        <v>16874</v>
      </c>
      <c r="R109" s="375">
        <f t="shared" si="46"/>
        <v>17129</v>
      </c>
      <c r="S109" s="375">
        <f t="shared" si="46"/>
        <v>17573.3</v>
      </c>
      <c r="T109" s="897">
        <f t="shared" si="46"/>
        <v>17787.8</v>
      </c>
      <c r="U109" s="375">
        <f t="shared" si="46"/>
        <v>18108.900000000001</v>
      </c>
      <c r="V109" s="375">
        <f t="shared" si="46"/>
        <v>18368.099999999999</v>
      </c>
      <c r="W109" s="375">
        <f>W110+W111</f>
        <v>18609.7</v>
      </c>
      <c r="X109" s="375">
        <f t="shared" si="46"/>
        <v>18858.199999999997</v>
      </c>
      <c r="Y109" s="375">
        <f t="shared" si="46"/>
        <v>19208.2</v>
      </c>
      <c r="Z109" s="375">
        <f t="shared" si="46"/>
        <v>19348.900000000001</v>
      </c>
      <c r="AA109" s="375">
        <f>AA110+AA111</f>
        <v>19461.599999999999</v>
      </c>
      <c r="AB109" s="774">
        <f t="shared" si="46"/>
        <v>19750.7</v>
      </c>
      <c r="AC109" s="774">
        <f t="shared" si="46"/>
        <v>20062.900000000001</v>
      </c>
      <c r="AD109" s="774">
        <f t="shared" ref="AD109:AN109" si="47">AD110+AD111</f>
        <v>20347.099999999999</v>
      </c>
      <c r="AE109" s="774">
        <f t="shared" si="47"/>
        <v>20591.8</v>
      </c>
      <c r="AF109" s="774">
        <f t="shared" si="47"/>
        <v>20843.599999999999</v>
      </c>
      <c r="AG109" s="774">
        <f t="shared" si="47"/>
        <v>21079</v>
      </c>
      <c r="AH109" s="773">
        <f t="shared" si="47"/>
        <v>21305.200000000001</v>
      </c>
      <c r="AI109" s="773">
        <f t="shared" si="47"/>
        <v>21531.199999999997</v>
      </c>
      <c r="AJ109" s="773">
        <f t="shared" si="47"/>
        <v>21754.199999999997</v>
      </c>
      <c r="AK109" s="773">
        <f t="shared" si="47"/>
        <v>21986.5</v>
      </c>
      <c r="AL109" s="773">
        <f t="shared" si="47"/>
        <v>22217.4</v>
      </c>
      <c r="AM109" s="773">
        <f t="shared" si="47"/>
        <v>22453.9</v>
      </c>
      <c r="AN109" s="773">
        <f t="shared" si="47"/>
        <v>22696.2</v>
      </c>
    </row>
    <row r="110" spans="4:72" x14ac:dyDescent="0.35">
      <c r="D110" s="666" t="s">
        <v>499</v>
      </c>
      <c r="E110" s="600"/>
      <c r="F110" s="438"/>
      <c r="G110" s="438"/>
      <c r="H110" s="438"/>
      <c r="I110" s="234">
        <v>9624.7000000000007</v>
      </c>
      <c r="J110" s="456">
        <v>8995.7000000000007</v>
      </c>
      <c r="K110" s="456">
        <v>9425.4</v>
      </c>
      <c r="L110" s="456">
        <v>9783.7000000000007</v>
      </c>
      <c r="M110" s="456">
        <v>9878.7000000000007</v>
      </c>
      <c r="N110" s="456">
        <v>10170</v>
      </c>
      <c r="O110" s="456">
        <v>10447.700000000001</v>
      </c>
      <c r="P110" s="456">
        <v>10754.1</v>
      </c>
      <c r="Q110" s="456">
        <v>10892.8</v>
      </c>
      <c r="R110" s="456">
        <v>10995.9</v>
      </c>
      <c r="S110" s="456">
        <v>11278.9</v>
      </c>
      <c r="T110" s="456">
        <v>11325</v>
      </c>
      <c r="U110" s="456">
        <v>11480.7</v>
      </c>
      <c r="V110" s="456">
        <v>11641</v>
      </c>
      <c r="W110" s="456">
        <v>11824</v>
      </c>
      <c r="X110" s="456">
        <v>11955.3</v>
      </c>
      <c r="Y110" s="456">
        <v>12251</v>
      </c>
      <c r="Z110" s="456">
        <v>12343</v>
      </c>
      <c r="AA110" s="456">
        <v>12457.6</v>
      </c>
      <c r="AB110" s="657">
        <v>12613.1</v>
      </c>
      <c r="AC110" s="657">
        <v>12784.3</v>
      </c>
      <c r="AD110" s="657">
        <v>12944.6</v>
      </c>
      <c r="AE110" s="657">
        <v>13103</v>
      </c>
      <c r="AF110" s="657">
        <v>13259.9</v>
      </c>
      <c r="AG110" s="657">
        <v>13408.7</v>
      </c>
      <c r="AH110" s="225">
        <v>13552.4</v>
      </c>
      <c r="AI110" s="225">
        <v>13694.8</v>
      </c>
      <c r="AJ110" s="225">
        <v>13834.8</v>
      </c>
      <c r="AK110">
        <v>13978</v>
      </c>
      <c r="AL110">
        <v>14122.6</v>
      </c>
      <c r="AM110">
        <v>14269.5</v>
      </c>
      <c r="AN110">
        <v>14417.7</v>
      </c>
      <c r="AO110">
        <v>14568.8</v>
      </c>
      <c r="AP110">
        <v>14720.6</v>
      </c>
      <c r="AQ110">
        <v>14873.1</v>
      </c>
      <c r="AR110">
        <v>15023</v>
      </c>
      <c r="AS110">
        <v>15175.6</v>
      </c>
      <c r="AT110">
        <v>15328.8</v>
      </c>
      <c r="AU110">
        <v>15482.1</v>
      </c>
      <c r="AV110">
        <v>15630.6</v>
      </c>
      <c r="AW110">
        <v>15784.3</v>
      </c>
      <c r="AX110">
        <v>15938.8</v>
      </c>
      <c r="AY110">
        <v>16094.2</v>
      </c>
      <c r="AZ110">
        <v>16245.7</v>
      </c>
      <c r="BA110">
        <v>16403.3</v>
      </c>
      <c r="BB110">
        <v>16562.099999999999</v>
      </c>
      <c r="BC110">
        <v>16722.099999999999</v>
      </c>
      <c r="BD110">
        <v>16878.099999999999</v>
      </c>
      <c r="BE110">
        <v>17040.8</v>
      </c>
      <c r="BF110">
        <v>17203.900000000001</v>
      </c>
      <c r="BG110">
        <v>17367.599999999999</v>
      </c>
      <c r="BH110">
        <v>17525.2</v>
      </c>
      <c r="BI110">
        <v>17689.599999999999</v>
      </c>
      <c r="BJ110">
        <v>17856.900000000001</v>
      </c>
      <c r="BK110">
        <v>18026</v>
      </c>
      <c r="BL110">
        <v>18191.8</v>
      </c>
      <c r="BM110">
        <v>18363.7</v>
      </c>
      <c r="BN110">
        <v>18536.5</v>
      </c>
      <c r="BO110">
        <v>18710.3</v>
      </c>
      <c r="BP110">
        <v>18885.3</v>
      </c>
      <c r="BQ110">
        <v>19061.5</v>
      </c>
      <c r="BR110">
        <v>19239.3</v>
      </c>
      <c r="BS110">
        <v>19419.2</v>
      </c>
      <c r="BT110">
        <v>19601.3</v>
      </c>
    </row>
    <row r="111" spans="4:72" x14ac:dyDescent="0.35">
      <c r="D111" s="271" t="s">
        <v>890</v>
      </c>
      <c r="E111" s="564"/>
      <c r="F111" s="438"/>
      <c r="G111" s="438"/>
      <c r="H111" s="438"/>
      <c r="I111" s="456">
        <v>5510.1</v>
      </c>
      <c r="J111" s="456">
        <v>5269.8</v>
      </c>
      <c r="K111" s="456">
        <v>5518.1</v>
      </c>
      <c r="L111" s="456">
        <v>5535.6</v>
      </c>
      <c r="M111" s="456">
        <v>5521.1</v>
      </c>
      <c r="N111" s="456">
        <v>5789.6</v>
      </c>
      <c r="O111" s="456">
        <v>5877.9</v>
      </c>
      <c r="P111" s="456">
        <v>5923.2</v>
      </c>
      <c r="Q111" s="456">
        <v>5981.2</v>
      </c>
      <c r="R111" s="456">
        <v>6133.1</v>
      </c>
      <c r="S111" s="456">
        <v>6294.4</v>
      </c>
      <c r="T111" s="456">
        <v>6462.8</v>
      </c>
      <c r="U111" s="456">
        <v>6628.2</v>
      </c>
      <c r="V111" s="456">
        <v>6727.1</v>
      </c>
      <c r="W111" s="456">
        <v>6785.7</v>
      </c>
      <c r="X111" s="456">
        <v>6902.9</v>
      </c>
      <c r="Y111" s="456">
        <v>6957.2</v>
      </c>
      <c r="Z111" s="456">
        <v>7005.9</v>
      </c>
      <c r="AA111" s="456">
        <v>7004</v>
      </c>
      <c r="AB111" s="657">
        <v>7137.6</v>
      </c>
      <c r="AC111" s="657">
        <v>7278.6</v>
      </c>
      <c r="AD111" s="657">
        <v>7402.5</v>
      </c>
      <c r="AE111" s="657">
        <v>7488.8</v>
      </c>
      <c r="AF111" s="657">
        <v>7583.7</v>
      </c>
      <c r="AG111" s="657">
        <v>7670.3</v>
      </c>
      <c r="AH111" s="225">
        <v>7752.8</v>
      </c>
      <c r="AI111" s="225">
        <v>7836.4</v>
      </c>
      <c r="AJ111" s="225">
        <v>7919.4</v>
      </c>
      <c r="AK111">
        <v>8008.5</v>
      </c>
      <c r="AL111">
        <v>8094.8</v>
      </c>
      <c r="AM111">
        <v>8184.4</v>
      </c>
      <c r="AN111">
        <v>8278.5</v>
      </c>
      <c r="AO111">
        <v>8381</v>
      </c>
      <c r="AP111">
        <v>8484.2999999999993</v>
      </c>
      <c r="AQ111">
        <v>8587.9</v>
      </c>
      <c r="AR111">
        <v>8689.6</v>
      </c>
      <c r="AS111">
        <v>8790</v>
      </c>
      <c r="AT111">
        <v>8887.1</v>
      </c>
      <c r="AU111">
        <v>8983.2000000000007</v>
      </c>
      <c r="AV111">
        <v>9079.1</v>
      </c>
      <c r="AW111">
        <v>9175.2999999999993</v>
      </c>
      <c r="AX111">
        <v>9270.2999999999993</v>
      </c>
      <c r="AY111">
        <v>9364.2999999999993</v>
      </c>
      <c r="AZ111">
        <v>9459.7999999999993</v>
      </c>
      <c r="BA111">
        <v>9539.6</v>
      </c>
      <c r="BB111">
        <v>9624.2000000000007</v>
      </c>
      <c r="BC111">
        <v>9707.2999999999993</v>
      </c>
      <c r="BD111">
        <v>9809.1</v>
      </c>
      <c r="BE111">
        <v>9898.9</v>
      </c>
      <c r="BF111">
        <v>9994.7999999999993</v>
      </c>
      <c r="BG111">
        <v>10090.700000000001</v>
      </c>
      <c r="BH111">
        <v>10185.200000000001</v>
      </c>
      <c r="BI111">
        <v>10278.9</v>
      </c>
      <c r="BJ111">
        <v>10371</v>
      </c>
      <c r="BK111">
        <v>10463</v>
      </c>
      <c r="BL111">
        <v>10568.7</v>
      </c>
      <c r="BM111">
        <v>10678.3</v>
      </c>
      <c r="BN111">
        <v>10787.6</v>
      </c>
      <c r="BO111">
        <v>10896.9</v>
      </c>
      <c r="BP111">
        <v>11005</v>
      </c>
      <c r="BQ111">
        <v>11113.9</v>
      </c>
      <c r="BR111">
        <v>11223.1</v>
      </c>
      <c r="BS111">
        <v>11332.5</v>
      </c>
      <c r="BT111">
        <v>11442.4</v>
      </c>
    </row>
    <row r="112" spans="4:72" x14ac:dyDescent="0.35">
      <c r="D112" s="271" t="s">
        <v>500</v>
      </c>
      <c r="E112" s="564"/>
      <c r="F112" s="438"/>
      <c r="G112" s="438"/>
      <c r="H112" s="438"/>
      <c r="I112" s="456">
        <v>14440.2</v>
      </c>
      <c r="J112" s="456">
        <v>13049.8</v>
      </c>
      <c r="K112" s="456">
        <v>14388.7</v>
      </c>
      <c r="L112" s="456">
        <v>14586</v>
      </c>
      <c r="M112" s="456">
        <v>15217.7</v>
      </c>
      <c r="N112" s="456">
        <v>15950.9</v>
      </c>
      <c r="O112" s="456">
        <v>16285.1</v>
      </c>
      <c r="P112" s="456">
        <v>16718.2</v>
      </c>
      <c r="Q112" s="456">
        <v>17175.099999999999</v>
      </c>
      <c r="R112" s="456">
        <v>17603.8</v>
      </c>
      <c r="S112" s="456">
        <v>17876.2</v>
      </c>
      <c r="T112" s="456">
        <v>18108.3</v>
      </c>
      <c r="U112" s="456">
        <v>18506.2</v>
      </c>
      <c r="V112" s="456">
        <v>18685.7</v>
      </c>
      <c r="W112" s="456">
        <v>18929</v>
      </c>
      <c r="X112" s="456">
        <v>19170.2</v>
      </c>
      <c r="Y112" s="456">
        <v>19424.8</v>
      </c>
      <c r="Z112" s="456">
        <v>19682.7</v>
      </c>
      <c r="AA112" s="456">
        <v>19928.2</v>
      </c>
      <c r="AB112" s="657">
        <v>20185.7</v>
      </c>
      <c r="AC112" s="657">
        <v>20403.099999999999</v>
      </c>
      <c r="AD112" s="657">
        <v>20642.2</v>
      </c>
      <c r="AE112" s="657">
        <v>20846.8</v>
      </c>
      <c r="AF112" s="657">
        <v>21044.3</v>
      </c>
      <c r="AG112" s="657">
        <v>21224.400000000001</v>
      </c>
      <c r="AH112" s="225">
        <v>21419</v>
      </c>
      <c r="AI112" s="225">
        <v>21589.1</v>
      </c>
      <c r="AJ112" s="225">
        <v>21781.8</v>
      </c>
      <c r="AK112">
        <v>21986.799999999999</v>
      </c>
      <c r="AL112">
        <v>22169.7</v>
      </c>
      <c r="AM112">
        <v>22353.1</v>
      </c>
      <c r="AN112">
        <v>22549.7</v>
      </c>
      <c r="AO112">
        <v>22756.3</v>
      </c>
      <c r="AP112">
        <v>22960.5</v>
      </c>
      <c r="AQ112">
        <v>23175.7</v>
      </c>
      <c r="AR112">
        <v>23394.799999999999</v>
      </c>
      <c r="AS112">
        <v>23623.8</v>
      </c>
      <c r="AT112">
        <v>23858.3</v>
      </c>
      <c r="AU112">
        <v>24089.9</v>
      </c>
      <c r="AV112">
        <v>24324.3</v>
      </c>
      <c r="AW112">
        <v>24567.4</v>
      </c>
      <c r="AX112">
        <v>24824.5</v>
      </c>
      <c r="AY112">
        <v>25079.200000000001</v>
      </c>
      <c r="AZ112">
        <v>25340.7</v>
      </c>
      <c r="BA112">
        <v>25603</v>
      </c>
      <c r="BB112">
        <v>25871.9</v>
      </c>
      <c r="BC112">
        <v>26140.7</v>
      </c>
      <c r="BD112">
        <v>26411.5</v>
      </c>
      <c r="BE112">
        <v>26684.9</v>
      </c>
      <c r="BF112">
        <v>26961.599999999999</v>
      </c>
      <c r="BG112">
        <v>27241.4</v>
      </c>
      <c r="BH112">
        <v>27524.400000000001</v>
      </c>
      <c r="BI112">
        <v>27809.7</v>
      </c>
      <c r="BJ112">
        <v>28100.3</v>
      </c>
      <c r="BK112">
        <v>28394.3</v>
      </c>
      <c r="BL112">
        <v>28690.400000000001</v>
      </c>
      <c r="BM112">
        <v>28988.400000000001</v>
      </c>
      <c r="BN112">
        <v>29289</v>
      </c>
      <c r="BO112">
        <v>29593.3</v>
      </c>
      <c r="BP112">
        <v>29899.7</v>
      </c>
      <c r="BQ112">
        <v>30207</v>
      </c>
      <c r="BR112">
        <v>30516</v>
      </c>
      <c r="BS112">
        <v>30827</v>
      </c>
      <c r="BT112">
        <v>31138.6</v>
      </c>
    </row>
    <row r="113" spans="4:72" x14ac:dyDescent="0.35">
      <c r="D113" s="702" t="s">
        <v>1913</v>
      </c>
      <c r="E113" s="576"/>
      <c r="F113" s="576"/>
      <c r="G113" s="576"/>
      <c r="H113" s="795"/>
      <c r="I113" s="776">
        <v>1736.3</v>
      </c>
      <c r="J113" s="776">
        <v>1597.1</v>
      </c>
      <c r="K113" s="776">
        <v>2041.1</v>
      </c>
      <c r="L113" s="776">
        <v>1947.4</v>
      </c>
      <c r="M113" s="776">
        <v>2280.4</v>
      </c>
      <c r="N113" s="776">
        <v>2580</v>
      </c>
      <c r="O113" s="776">
        <v>2541.1</v>
      </c>
      <c r="P113" s="776">
        <v>2555</v>
      </c>
      <c r="Q113" s="776">
        <v>2738.7</v>
      </c>
      <c r="R113" s="776">
        <v>2876.9</v>
      </c>
      <c r="S113" s="776">
        <v>2950.7</v>
      </c>
      <c r="T113" s="776">
        <v>2921.1</v>
      </c>
      <c r="U113" s="776">
        <v>2941.2</v>
      </c>
      <c r="V113" s="776">
        <v>2953.4</v>
      </c>
      <c r="W113" s="776">
        <v>3079.7</v>
      </c>
      <c r="X113" s="776">
        <v>3253.6</v>
      </c>
      <c r="Y113" s="776">
        <v>3186.2</v>
      </c>
      <c r="Z113" s="776">
        <v>3337.4</v>
      </c>
      <c r="AA113" s="776">
        <v>3365.5</v>
      </c>
      <c r="AB113" s="777">
        <v>3380.3</v>
      </c>
      <c r="AC113" s="777">
        <v>3389.3</v>
      </c>
      <c r="AD113" s="777">
        <v>3387.9</v>
      </c>
      <c r="AE113" s="777">
        <v>3390.8</v>
      </c>
      <c r="AF113" s="777">
        <v>3389.1</v>
      </c>
      <c r="AG113" s="777">
        <v>3393.2</v>
      </c>
      <c r="AH113" s="225">
        <v>3399.9</v>
      </c>
      <c r="AI113" s="225">
        <v>3396.5</v>
      </c>
      <c r="AJ113" s="225">
        <v>3400.6</v>
      </c>
      <c r="AK113">
        <v>3394.1</v>
      </c>
      <c r="AL113">
        <v>3381.6</v>
      </c>
      <c r="AM113">
        <v>3366.9</v>
      </c>
      <c r="AN113">
        <v>3369.6</v>
      </c>
      <c r="AO113">
        <v>3361.6</v>
      </c>
      <c r="AP113">
        <v>3346.4</v>
      </c>
      <c r="AQ113">
        <v>3335.2</v>
      </c>
      <c r="AR113">
        <v>3336.1</v>
      </c>
      <c r="AS113">
        <v>3337.1</v>
      </c>
      <c r="AT113">
        <v>3344.5</v>
      </c>
      <c r="AU113">
        <v>3352.2</v>
      </c>
      <c r="AV113">
        <v>3375.5</v>
      </c>
      <c r="AW113">
        <v>3396.4</v>
      </c>
      <c r="AX113">
        <v>3426.8</v>
      </c>
      <c r="AY113">
        <v>3446.4</v>
      </c>
      <c r="AZ113">
        <v>3483.8</v>
      </c>
      <c r="BA113">
        <v>3528.1</v>
      </c>
      <c r="BB113">
        <v>3572.6</v>
      </c>
      <c r="BC113">
        <v>3617.2</v>
      </c>
      <c r="BD113">
        <v>3662.1</v>
      </c>
      <c r="BE113">
        <v>3706</v>
      </c>
      <c r="BF113">
        <v>3748</v>
      </c>
      <c r="BG113">
        <v>3786.8</v>
      </c>
      <c r="BH113">
        <v>3835.5</v>
      </c>
      <c r="BI113">
        <v>3873</v>
      </c>
      <c r="BJ113">
        <v>3914.5</v>
      </c>
      <c r="BK113">
        <v>3953.1</v>
      </c>
      <c r="BL113">
        <v>4000.1</v>
      </c>
      <c r="BM113">
        <v>4037.5</v>
      </c>
      <c r="BN113">
        <v>4076.8</v>
      </c>
      <c r="BO113">
        <v>4113.6000000000004</v>
      </c>
      <c r="BP113">
        <v>4158.3999999999996</v>
      </c>
      <c r="BQ113">
        <v>4198.7</v>
      </c>
      <c r="BR113">
        <v>4242.1000000000004</v>
      </c>
      <c r="BS113">
        <v>4282.6000000000004</v>
      </c>
      <c r="BT113">
        <v>4332.1000000000004</v>
      </c>
    </row>
    <row r="114" spans="4:72" ht="18.75" customHeight="1" x14ac:dyDescent="0.35"/>
    <row r="115" spans="4:72" x14ac:dyDescent="0.35">
      <c r="D115" s="882"/>
      <c r="E115" s="600"/>
      <c r="F115" s="600"/>
      <c r="G115" s="600"/>
      <c r="H115" s="438"/>
      <c r="I115" s="438"/>
      <c r="J115" s="438"/>
      <c r="K115" s="438"/>
      <c r="L115" s="438"/>
      <c r="M115" s="438"/>
      <c r="N115" s="438"/>
      <c r="O115" s="438"/>
      <c r="P115" s="438"/>
      <c r="Q115" s="438"/>
      <c r="R115" s="438"/>
      <c r="S115" s="438"/>
      <c r="T115" s="438"/>
      <c r="U115" s="438"/>
      <c r="V115" s="438"/>
      <c r="W115" s="438"/>
      <c r="X115" s="438"/>
      <c r="Y115" s="438"/>
      <c r="Z115" s="855"/>
      <c r="AA115" s="438"/>
      <c r="AB115" s="438"/>
      <c r="AC115" s="438"/>
    </row>
    <row r="116" spans="4:72" x14ac:dyDescent="0.35">
      <c r="D116" s="523"/>
      <c r="AC116" s="56"/>
    </row>
    <row r="117" spans="4:72" x14ac:dyDescent="0.35">
      <c r="D117" s="1398" t="s">
        <v>506</v>
      </c>
      <c r="E117" s="1410"/>
      <c r="F117" s="1264">
        <v>2019</v>
      </c>
      <c r="G117" s="1359"/>
      <c r="H117" s="1266"/>
      <c r="I117" s="1359">
        <v>2020</v>
      </c>
      <c r="J117" s="1359"/>
      <c r="K117" s="1359"/>
      <c r="L117" s="1266"/>
      <c r="M117" s="1264">
        <v>2021</v>
      </c>
      <c r="N117" s="1359"/>
      <c r="O117" s="1359"/>
      <c r="P117" s="1359"/>
      <c r="Q117" s="1264">
        <v>2022</v>
      </c>
      <c r="R117" s="1265"/>
      <c r="S117" s="1265"/>
      <c r="T117" s="1266"/>
      <c r="U117" s="299"/>
      <c r="V117" s="299">
        <v>2023</v>
      </c>
      <c r="W117" s="439"/>
      <c r="X117" s="306"/>
      <c r="Y117" s="1264">
        <v>2024</v>
      </c>
      <c r="Z117" s="1359"/>
      <c r="AA117" s="1359"/>
      <c r="AB117" s="1266"/>
      <c r="AC117" s="1270">
        <v>2025</v>
      </c>
      <c r="AD117" s="1352"/>
      <c r="AE117" s="1352"/>
      <c r="AF117" s="1272"/>
      <c r="AG117" s="1270">
        <v>2026</v>
      </c>
      <c r="AH117" s="1352"/>
      <c r="AI117" s="1352"/>
      <c r="AJ117" s="1272"/>
      <c r="AK117" s="1270">
        <v>2027</v>
      </c>
      <c r="AL117" s="1352"/>
      <c r="AM117" s="1352"/>
      <c r="AN117" s="1272"/>
    </row>
    <row r="118" spans="4:72" x14ac:dyDescent="0.35">
      <c r="D118" s="1411"/>
      <c r="E118" s="1412"/>
      <c r="F118" s="221" t="s">
        <v>283</v>
      </c>
      <c r="G118" s="222" t="s">
        <v>238</v>
      </c>
      <c r="H118" s="228" t="s">
        <v>281</v>
      </c>
      <c r="I118" s="222" t="s">
        <v>282</v>
      </c>
      <c r="J118" s="222" t="s">
        <v>283</v>
      </c>
      <c r="K118" s="222" t="s">
        <v>238</v>
      </c>
      <c r="L118" s="228" t="s">
        <v>281</v>
      </c>
      <c r="M118" s="221" t="s">
        <v>282</v>
      </c>
      <c r="N118" s="222" t="s">
        <v>283</v>
      </c>
      <c r="O118" s="222" t="s">
        <v>238</v>
      </c>
      <c r="P118" s="222" t="s">
        <v>281</v>
      </c>
      <c r="Q118" s="221" t="s">
        <v>282</v>
      </c>
      <c r="R118" s="222" t="s">
        <v>283</v>
      </c>
      <c r="S118" s="222" t="s">
        <v>238</v>
      </c>
      <c r="T118" s="228" t="s">
        <v>281</v>
      </c>
      <c r="U118" s="221" t="s">
        <v>282</v>
      </c>
      <c r="V118" s="283" t="s">
        <v>283</v>
      </c>
      <c r="W118" s="283" t="s">
        <v>238</v>
      </c>
      <c r="X118" s="281" t="s">
        <v>281</v>
      </c>
      <c r="Y118" s="282" t="s">
        <v>282</v>
      </c>
      <c r="Z118" s="288" t="s">
        <v>283</v>
      </c>
      <c r="AA118" s="283" t="s">
        <v>238</v>
      </c>
      <c r="AB118" s="283" t="s">
        <v>281</v>
      </c>
      <c r="AC118" s="282" t="s">
        <v>282</v>
      </c>
      <c r="AD118" s="267" t="s">
        <v>283</v>
      </c>
      <c r="AE118" s="269" t="s">
        <v>238</v>
      </c>
      <c r="AF118" s="269" t="s">
        <v>281</v>
      </c>
      <c r="AG118" s="296" t="s">
        <v>282</v>
      </c>
      <c r="AH118" s="267" t="s">
        <v>283</v>
      </c>
      <c r="AI118" s="269" t="s">
        <v>238</v>
      </c>
      <c r="AJ118" s="298" t="s">
        <v>281</v>
      </c>
      <c r="AK118" s="296" t="s">
        <v>282</v>
      </c>
      <c r="AL118" s="267" t="s">
        <v>283</v>
      </c>
      <c r="AM118" s="269" t="s">
        <v>238</v>
      </c>
      <c r="AN118" s="298" t="s">
        <v>281</v>
      </c>
    </row>
    <row r="119" spans="4:72" x14ac:dyDescent="0.35">
      <c r="D119" s="1408" t="s">
        <v>507</v>
      </c>
      <c r="E119" s="1409"/>
      <c r="F119" s="256"/>
      <c r="G119" s="317"/>
      <c r="H119" s="317"/>
      <c r="I119" s="317"/>
      <c r="J119" s="317"/>
      <c r="K119" s="317"/>
      <c r="L119" s="317"/>
      <c r="M119" s="317"/>
      <c r="N119" s="317"/>
      <c r="O119" s="317"/>
      <c r="P119" s="317"/>
      <c r="Q119" s="317"/>
      <c r="R119" s="317"/>
      <c r="S119" s="317"/>
      <c r="T119" s="284"/>
      <c r="U119" s="317"/>
      <c r="V119" s="317"/>
      <c r="W119" s="284"/>
      <c r="X119" s="284"/>
      <c r="Y119" s="284"/>
      <c r="Z119" s="284"/>
      <c r="AA119" s="284"/>
      <c r="AB119" s="284"/>
      <c r="AC119" s="317"/>
    </row>
    <row r="120" spans="4:72" x14ac:dyDescent="0.35">
      <c r="D120" s="529" t="s">
        <v>480</v>
      </c>
      <c r="F120" s="796"/>
      <c r="G120" s="821"/>
      <c r="H120" s="821">
        <f t="shared" ref="H120:AC120" si="48">H10/H127</f>
        <v>0.11784269540900824</v>
      </c>
      <c r="I120" s="821">
        <f t="shared" si="48"/>
        <v>0.11798949979497039</v>
      </c>
      <c r="J120" s="821">
        <f t="shared" si="48"/>
        <v>0.11557617083128487</v>
      </c>
      <c r="K120" s="821">
        <f t="shared" si="48"/>
        <v>0.11769489871298738</v>
      </c>
      <c r="L120" s="821">
        <f t="shared" si="48"/>
        <v>0.12162864264434113</v>
      </c>
      <c r="M120" s="821">
        <f t="shared" si="48"/>
        <v>0.12929672515912594</v>
      </c>
      <c r="N120" s="821">
        <f t="shared" si="48"/>
        <v>0.13102202825485806</v>
      </c>
      <c r="O120" s="821">
        <f t="shared" si="48"/>
        <v>0.13305175527193708</v>
      </c>
      <c r="P120" s="821">
        <f t="shared" si="48"/>
        <v>0.13449158829300981</v>
      </c>
      <c r="Q120" s="821">
        <f t="shared" si="48"/>
        <v>0.15377510967444011</v>
      </c>
      <c r="R120" s="821">
        <f t="shared" si="48"/>
        <v>0.15188876770810855</v>
      </c>
      <c r="S120" s="819">
        <f t="shared" si="48"/>
        <v>0.14941502848112062</v>
      </c>
      <c r="T120" s="819">
        <f t="shared" si="48"/>
        <v>0.14577752318051879</v>
      </c>
      <c r="U120" s="819">
        <f t="shared" si="48"/>
        <v>0.12446834919321474</v>
      </c>
      <c r="V120" s="819">
        <f t="shared" si="48"/>
        <v>0.12219170632222978</v>
      </c>
      <c r="W120" s="819">
        <f t="shared" si="48"/>
        <v>0.12134111319265888</v>
      </c>
      <c r="X120" s="819">
        <f t="shared" si="48"/>
        <v>0.1208907628905298</v>
      </c>
      <c r="Y120" s="819">
        <f t="shared" si="48"/>
        <v>0.12253611957686264</v>
      </c>
      <c r="Z120" s="819">
        <f t="shared" si="48"/>
        <v>0.12263673629539379</v>
      </c>
      <c r="AA120" s="819">
        <f t="shared" si="48"/>
        <v>0.12343372904991996</v>
      </c>
      <c r="AB120" s="819">
        <f t="shared" si="48"/>
        <v>0.12426245823558683</v>
      </c>
      <c r="AC120" s="819">
        <f t="shared" si="48"/>
        <v>0.12610950083745373</v>
      </c>
      <c r="AD120" s="820">
        <f t="shared" ref="AD120" si="49">AC120+AD121</f>
        <v>0.12610950083745373</v>
      </c>
      <c r="AE120" s="820">
        <f t="shared" ref="AE120" si="50">AD120+AE121</f>
        <v>0.12610950083745373</v>
      </c>
      <c r="AF120" s="820">
        <f t="shared" ref="AF120" si="51">AE120+AF121</f>
        <v>0.12610950083745373</v>
      </c>
      <c r="AG120" s="820">
        <f>AF120+AG121</f>
        <v>0.12610950083745373</v>
      </c>
      <c r="AH120" s="820">
        <f t="shared" ref="AH120:AJ120" si="52">AG120+AH121</f>
        <v>0.12610950083745373</v>
      </c>
      <c r="AI120" s="820">
        <f t="shared" si="52"/>
        <v>0.12610950083745373</v>
      </c>
      <c r="AJ120" s="820">
        <f t="shared" si="52"/>
        <v>0.12610950083745373</v>
      </c>
      <c r="AK120" s="820">
        <f t="shared" ref="AK120" si="53">AJ120+AK121</f>
        <v>0.12610950083745373</v>
      </c>
      <c r="AL120" s="820">
        <f t="shared" ref="AL120" si="54">AK120+AL121</f>
        <v>0.12610950083745373</v>
      </c>
      <c r="AM120" s="820">
        <f t="shared" ref="AM120" si="55">AL120+AM121</f>
        <v>0.12610950083745373</v>
      </c>
      <c r="AN120" s="820">
        <f t="shared" ref="AN120" si="56">AM120+AN121</f>
        <v>0.12610950083745373</v>
      </c>
    </row>
    <row r="121" spans="4:72" x14ac:dyDescent="0.35">
      <c r="D121" s="529" t="s">
        <v>887</v>
      </c>
      <c r="F121" s="796"/>
      <c r="G121" s="821"/>
      <c r="H121" s="821"/>
      <c r="I121" s="821"/>
      <c r="J121" s="821"/>
      <c r="K121" s="821"/>
      <c r="L121" s="821"/>
      <c r="M121" s="821"/>
      <c r="N121" s="821"/>
      <c r="O121" s="821"/>
      <c r="P121" s="821"/>
      <c r="Q121" s="821"/>
      <c r="R121" s="821"/>
      <c r="S121" s="819"/>
      <c r="T121" s="819"/>
      <c r="U121" s="819"/>
      <c r="V121" s="819"/>
      <c r="W121" s="821"/>
      <c r="X121" s="821"/>
      <c r="Y121" s="820"/>
      <c r="Z121" s="820"/>
      <c r="AA121" s="820"/>
      <c r="AB121" s="820"/>
      <c r="AC121" s="820"/>
      <c r="AD121" s="820"/>
      <c r="AE121" s="820"/>
      <c r="AF121" s="820"/>
      <c r="AG121" s="820"/>
      <c r="AH121" s="820"/>
      <c r="AI121" s="820"/>
      <c r="AJ121" s="820"/>
      <c r="AK121" s="820"/>
      <c r="AL121" s="820"/>
      <c r="AM121" s="820"/>
      <c r="AN121" s="820"/>
    </row>
    <row r="122" spans="4:72" x14ac:dyDescent="0.35">
      <c r="D122" s="529" t="s">
        <v>481</v>
      </c>
      <c r="F122" s="796"/>
      <c r="G122" s="821"/>
      <c r="H122" s="821">
        <f t="shared" ref="H122:AC122" si="57">H13/H132</f>
        <v>0.15051429053199564</v>
      </c>
      <c r="I122" s="821">
        <f t="shared" si="57"/>
        <v>0.15080163959943962</v>
      </c>
      <c r="J122" s="821">
        <f t="shared" si="57"/>
        <v>0.15365395933505827</v>
      </c>
      <c r="K122" s="821">
        <f t="shared" si="57"/>
        <v>0.15177190789891759</v>
      </c>
      <c r="L122" s="821">
        <f t="shared" si="57"/>
        <v>0.14987512105611908</v>
      </c>
      <c r="M122" s="821">
        <f t="shared" si="57"/>
        <v>0.15037715626200734</v>
      </c>
      <c r="N122" s="821">
        <f t="shared" si="57"/>
        <v>0.14952123741713724</v>
      </c>
      <c r="O122" s="821">
        <f t="shared" si="57"/>
        <v>0.14900409068318232</v>
      </c>
      <c r="P122" s="821">
        <f t="shared" si="57"/>
        <v>0.14885815076123282</v>
      </c>
      <c r="Q122" s="821">
        <f t="shared" si="57"/>
        <v>0.15059075868264021</v>
      </c>
      <c r="R122" s="821">
        <f t="shared" si="57"/>
        <v>0.15126805836791402</v>
      </c>
      <c r="S122" s="819">
        <f t="shared" si="57"/>
        <v>0.1516602781441711</v>
      </c>
      <c r="T122" s="819">
        <f t="shared" si="57"/>
        <v>0.15250681030758786</v>
      </c>
      <c r="U122" s="819">
        <f t="shared" si="57"/>
        <v>0.15315714869600761</v>
      </c>
      <c r="V122" s="819">
        <f t="shared" si="57"/>
        <v>0.15350245274604646</v>
      </c>
      <c r="W122" s="819">
        <f t="shared" si="57"/>
        <v>0.15350192088487355</v>
      </c>
      <c r="X122" s="819">
        <f t="shared" si="57"/>
        <v>0.15333099520684071</v>
      </c>
      <c r="Y122" s="819">
        <f t="shared" si="57"/>
        <v>0.15191472369139494</v>
      </c>
      <c r="Z122" s="819">
        <f t="shared" si="57"/>
        <v>0.15120313826990739</v>
      </c>
      <c r="AA122" s="819">
        <f t="shared" si="57"/>
        <v>0.15101689322419939</v>
      </c>
      <c r="AB122" s="819">
        <f t="shared" si="57"/>
        <v>0.15071508893077179</v>
      </c>
      <c r="AC122" s="819">
        <f t="shared" si="57"/>
        <v>0.15127417172973015</v>
      </c>
      <c r="AD122" s="820">
        <f t="shared" ref="AD122:AD123" si="58">AC122</f>
        <v>0.15127417172973015</v>
      </c>
      <c r="AE122" s="820">
        <f t="shared" ref="AE122:AE123" si="59">AD122</f>
        <v>0.15127417172973015</v>
      </c>
      <c r="AF122" s="820">
        <f t="shared" ref="AF122:AF123" si="60">AE122</f>
        <v>0.15127417172973015</v>
      </c>
      <c r="AG122" s="820">
        <f t="shared" ref="AG122:AG123" si="61">AF122</f>
        <v>0.15127417172973015</v>
      </c>
      <c r="AH122" s="820">
        <f t="shared" ref="AH122:AH123" si="62">AG122</f>
        <v>0.15127417172973015</v>
      </c>
      <c r="AI122" s="820">
        <f t="shared" ref="AI122:AI123" si="63">AH122</f>
        <v>0.15127417172973015</v>
      </c>
      <c r="AJ122" s="820">
        <f>AI122</f>
        <v>0.15127417172973015</v>
      </c>
      <c r="AK122" s="820">
        <f t="shared" ref="AK122:AN123" si="64">AJ122</f>
        <v>0.15127417172973015</v>
      </c>
      <c r="AL122" s="820">
        <f t="shared" si="64"/>
        <v>0.15127417172973015</v>
      </c>
      <c r="AM122" s="820">
        <f t="shared" si="64"/>
        <v>0.15127417172973015</v>
      </c>
      <c r="AN122" s="820">
        <f t="shared" si="64"/>
        <v>0.15127417172973015</v>
      </c>
    </row>
    <row r="123" spans="4:72" x14ac:dyDescent="0.35">
      <c r="D123" s="529" t="s">
        <v>482</v>
      </c>
      <c r="F123" s="796"/>
      <c r="G123" s="821"/>
      <c r="H123" s="821">
        <f t="shared" ref="H123:AC123" si="65">H15/H133</f>
        <v>1.2162437929392559E-2</v>
      </c>
      <c r="I123" s="821">
        <f t="shared" si="65"/>
        <v>1.2699879968543479E-2</v>
      </c>
      <c r="J123" s="821">
        <f t="shared" si="65"/>
        <v>9.8135948268010566E-3</v>
      </c>
      <c r="K123" s="821">
        <f t="shared" si="65"/>
        <v>1.0312197817378091E-2</v>
      </c>
      <c r="L123" s="821">
        <f t="shared" si="65"/>
        <v>1.0757352891335144E-2</v>
      </c>
      <c r="M123" s="821">
        <f t="shared" si="65"/>
        <v>1.0629513611282226E-2</v>
      </c>
      <c r="N123" s="821">
        <f t="shared" si="65"/>
        <v>1.1269768922909786E-2</v>
      </c>
      <c r="O123" s="821">
        <f t="shared" si="65"/>
        <v>1.1232041261557454E-2</v>
      </c>
      <c r="P123" s="821">
        <f t="shared" si="65"/>
        <v>1.1643603451454263E-2</v>
      </c>
      <c r="Q123" s="821">
        <f t="shared" si="65"/>
        <v>1.2058153955435486E-2</v>
      </c>
      <c r="R123" s="821">
        <f t="shared" si="65"/>
        <v>1.1872436632999694E-2</v>
      </c>
      <c r="S123" s="819">
        <f t="shared" si="65"/>
        <v>1.1204842192412258E-2</v>
      </c>
      <c r="T123" s="819">
        <f t="shared" si="65"/>
        <v>1.0492426125036586E-2</v>
      </c>
      <c r="U123" s="819">
        <f t="shared" si="65"/>
        <v>9.7102592644627197E-3</v>
      </c>
      <c r="V123" s="819">
        <f t="shared" si="65"/>
        <v>9.4082640735963872E-3</v>
      </c>
      <c r="W123" s="819">
        <f t="shared" si="65"/>
        <v>9.097152517301494E-3</v>
      </c>
      <c r="X123" s="819">
        <f t="shared" si="65"/>
        <v>8.8314154260258106E-3</v>
      </c>
      <c r="Y123" s="819">
        <f t="shared" si="65"/>
        <v>9.1223590461677849E-3</v>
      </c>
      <c r="Z123" s="819">
        <f t="shared" si="65"/>
        <v>8.7589609149151277E-3</v>
      </c>
      <c r="AA123" s="819">
        <f t="shared" si="65"/>
        <v>9.0980219074750235E-3</v>
      </c>
      <c r="AB123" s="819">
        <f t="shared" si="65"/>
        <v>9.0098985460739054E-3</v>
      </c>
      <c r="AC123" s="819">
        <f t="shared" si="65"/>
        <v>9.349220002345858E-3</v>
      </c>
      <c r="AD123" s="820">
        <f t="shared" si="58"/>
        <v>9.349220002345858E-3</v>
      </c>
      <c r="AE123" s="820">
        <f t="shared" si="59"/>
        <v>9.349220002345858E-3</v>
      </c>
      <c r="AF123" s="820">
        <f t="shared" si="60"/>
        <v>9.349220002345858E-3</v>
      </c>
      <c r="AG123" s="820">
        <f t="shared" si="61"/>
        <v>9.349220002345858E-3</v>
      </c>
      <c r="AH123" s="820">
        <f t="shared" si="62"/>
        <v>9.349220002345858E-3</v>
      </c>
      <c r="AI123" s="820">
        <f t="shared" si="63"/>
        <v>9.349220002345858E-3</v>
      </c>
      <c r="AJ123" s="820">
        <f t="shared" ref="AJ123" si="66">AI123</f>
        <v>9.349220002345858E-3</v>
      </c>
      <c r="AK123" s="820">
        <f t="shared" si="64"/>
        <v>9.349220002345858E-3</v>
      </c>
      <c r="AL123" s="820">
        <f t="shared" si="64"/>
        <v>9.349220002345858E-3</v>
      </c>
      <c r="AM123" s="820">
        <f t="shared" si="64"/>
        <v>9.349220002345858E-3</v>
      </c>
      <c r="AN123" s="820">
        <f t="shared" si="64"/>
        <v>9.349220002345858E-3</v>
      </c>
    </row>
    <row r="124" spans="4:72" x14ac:dyDescent="0.35">
      <c r="D124" s="428" t="s">
        <v>483</v>
      </c>
      <c r="F124" s="796"/>
      <c r="G124" s="821"/>
      <c r="H124" s="821">
        <f t="shared" ref="H124:AC124" si="67">H17/H134</f>
        <v>0.11576477635782748</v>
      </c>
      <c r="I124" s="821">
        <f t="shared" si="67"/>
        <v>0.10926623302521968</v>
      </c>
      <c r="J124" s="821">
        <f t="shared" si="67"/>
        <v>0.11837969278216001</v>
      </c>
      <c r="K124" s="821">
        <f t="shared" si="67"/>
        <v>0.11127845432247516</v>
      </c>
      <c r="L124" s="821">
        <f t="shared" si="67"/>
        <v>0.11953366642874137</v>
      </c>
      <c r="M124" s="821">
        <f t="shared" si="67"/>
        <v>0.11887481034977652</v>
      </c>
      <c r="N124" s="821">
        <f t="shared" si="67"/>
        <v>0.12443013242636948</v>
      </c>
      <c r="O124" s="821">
        <f t="shared" si="67"/>
        <v>0.12539127902744412</v>
      </c>
      <c r="P124" s="821">
        <f t="shared" si="67"/>
        <v>0.13006032415146448</v>
      </c>
      <c r="Q124" s="821">
        <f t="shared" si="67"/>
        <v>0.13860590791251326</v>
      </c>
      <c r="R124" s="819">
        <f t="shared" si="67"/>
        <v>0.14498244638325977</v>
      </c>
      <c r="S124" s="819">
        <f t="shared" si="67"/>
        <v>0.13630663910258584</v>
      </c>
      <c r="T124" s="819">
        <f t="shared" si="67"/>
        <v>0.13929684023141967</v>
      </c>
      <c r="U124" s="819">
        <f t="shared" si="67"/>
        <v>0.1476608187134503</v>
      </c>
      <c r="V124" s="819">
        <f t="shared" si="67"/>
        <v>0.14539175187919007</v>
      </c>
      <c r="W124" s="819">
        <f t="shared" si="67"/>
        <v>0.1467350715978829</v>
      </c>
      <c r="X124" s="819">
        <f t="shared" si="67"/>
        <v>0.14285714285714288</v>
      </c>
      <c r="Y124" s="819">
        <f t="shared" si="67"/>
        <v>0.14434122151779549</v>
      </c>
      <c r="Z124" s="819">
        <f t="shared" si="67"/>
        <v>0.14783963564451369</v>
      </c>
      <c r="AA124" s="819">
        <f t="shared" si="67"/>
        <v>0.14652482690993374</v>
      </c>
      <c r="AB124" s="819">
        <f t="shared" si="67"/>
        <v>0.14682607947703424</v>
      </c>
      <c r="AC124" s="819">
        <f t="shared" si="67"/>
        <v>0.15131578947368421</v>
      </c>
      <c r="AD124" s="820">
        <f t="shared" ref="AD124" si="68">AC124+AD125</f>
        <v>0.15131578947368421</v>
      </c>
      <c r="AE124" s="820">
        <f t="shared" ref="AE124" si="69">AD124+AE125</f>
        <v>0.15131578947368421</v>
      </c>
      <c r="AF124" s="820">
        <f t="shared" ref="AF124" si="70">AE124+AF125</f>
        <v>0.15131578947368421</v>
      </c>
      <c r="AG124" s="820">
        <f t="shared" ref="AG124" si="71">AF124+AG125</f>
        <v>0.15131578947368421</v>
      </c>
      <c r="AH124" s="820">
        <f t="shared" ref="AH124" si="72">AG124+AH125</f>
        <v>0.15131578947368421</v>
      </c>
      <c r="AI124" s="820">
        <f t="shared" ref="AI124" si="73">AH124+AI125</f>
        <v>0.15131578947368421</v>
      </c>
      <c r="AJ124" s="820">
        <f t="shared" ref="AJ124" si="74">AI124+AJ125</f>
        <v>0.15131578947368421</v>
      </c>
      <c r="AK124" s="820">
        <f t="shared" ref="AK124" si="75">AJ124+AK125</f>
        <v>0.15131578947368421</v>
      </c>
      <c r="AL124" s="820">
        <f t="shared" ref="AL124" si="76">AK124+AL125</f>
        <v>0.15131578947368421</v>
      </c>
      <c r="AM124" s="820">
        <f t="shared" ref="AM124" si="77">AL124+AM125</f>
        <v>0.15131578947368421</v>
      </c>
      <c r="AN124" s="820">
        <f t="shared" ref="AN124" si="78">AM124+AN125</f>
        <v>0.15131578947368421</v>
      </c>
    </row>
    <row r="125" spans="4:72" x14ac:dyDescent="0.35">
      <c r="D125" s="428" t="s">
        <v>1743</v>
      </c>
      <c r="F125" s="796"/>
      <c r="G125" s="821"/>
      <c r="H125" s="821"/>
      <c r="I125" s="821"/>
      <c r="J125" s="821"/>
      <c r="K125" s="821"/>
      <c r="L125" s="821"/>
      <c r="M125" s="821"/>
      <c r="N125" s="821"/>
      <c r="O125" s="821"/>
      <c r="P125" s="821"/>
      <c r="Q125" s="821"/>
      <c r="R125" s="821"/>
      <c r="S125" s="821"/>
      <c r="T125" s="821"/>
      <c r="U125" s="821">
        <v>-1.2E-2</v>
      </c>
      <c r="V125" s="821"/>
      <c r="W125" s="821"/>
      <c r="X125" s="821"/>
      <c r="Y125" s="820"/>
      <c r="Z125" s="820"/>
      <c r="AA125" s="820"/>
      <c r="AB125" s="820"/>
      <c r="AC125" s="820"/>
      <c r="AD125" s="820"/>
      <c r="AE125" s="820"/>
      <c r="AF125" s="820"/>
      <c r="AG125" s="820"/>
      <c r="AH125" s="820"/>
      <c r="AI125" s="820"/>
      <c r="AJ125" s="820"/>
      <c r="AK125" s="820"/>
      <c r="AL125" s="820"/>
      <c r="AM125" s="820"/>
      <c r="AN125" s="820"/>
    </row>
    <row r="126" spans="4:72" x14ac:dyDescent="0.35">
      <c r="D126" s="285" t="s">
        <v>508</v>
      </c>
      <c r="F126" s="272"/>
      <c r="G126" s="229"/>
      <c r="H126" s="229"/>
      <c r="I126" s="229"/>
      <c r="J126" s="229"/>
      <c r="K126" s="229"/>
      <c r="L126" s="229"/>
      <c r="M126" s="229"/>
      <c r="N126" s="229"/>
      <c r="O126" s="229"/>
      <c r="P126" s="229"/>
      <c r="Q126" s="229"/>
      <c r="R126" s="229"/>
      <c r="S126" s="229"/>
      <c r="T126" s="229"/>
      <c r="U126" s="229"/>
      <c r="V126" s="229"/>
      <c r="W126" s="229"/>
      <c r="X126" s="229"/>
      <c r="Y126" s="229"/>
      <c r="Z126" s="229"/>
      <c r="AA126" s="229"/>
      <c r="AB126" s="229"/>
      <c r="AC126" s="229"/>
    </row>
    <row r="127" spans="4:72" ht="14.9" customHeight="1" x14ac:dyDescent="0.35">
      <c r="D127" s="666" t="s">
        <v>509</v>
      </c>
      <c r="F127" s="790">
        <f>SUM(F128:F131)</f>
        <v>14464.9</v>
      </c>
      <c r="G127" s="438">
        <f t="shared" ref="G127:O127" si="79">SUM(G128:G131)</f>
        <v>14564.8</v>
      </c>
      <c r="H127" s="438">
        <f t="shared" si="79"/>
        <v>14733.199999999999</v>
      </c>
      <c r="I127" s="438">
        <f t="shared" si="79"/>
        <v>14875.9</v>
      </c>
      <c r="J127" s="438">
        <f t="shared" si="79"/>
        <v>14034.9</v>
      </c>
      <c r="K127" s="438">
        <f t="shared" si="79"/>
        <v>14755.099999999999</v>
      </c>
      <c r="L127" s="438">
        <f t="shared" si="79"/>
        <v>15205.3</v>
      </c>
      <c r="M127" s="438">
        <f t="shared" si="79"/>
        <v>15380.9</v>
      </c>
      <c r="N127" s="438">
        <f t="shared" si="79"/>
        <v>15947.7</v>
      </c>
      <c r="O127" s="438">
        <f t="shared" si="79"/>
        <v>16336.5</v>
      </c>
      <c r="P127" s="438">
        <f t="shared" ref="P127:T127" si="80">SUM(P128:P131)</f>
        <v>16714.8</v>
      </c>
      <c r="Q127" s="438">
        <f t="shared" si="80"/>
        <v>16890.899999999998</v>
      </c>
      <c r="R127" s="438">
        <f t="shared" si="80"/>
        <v>17146.100000000002</v>
      </c>
      <c r="S127" s="351">
        <f t="shared" si="80"/>
        <v>17590.599999999999</v>
      </c>
      <c r="T127" s="351">
        <f t="shared" si="80"/>
        <v>17805.900000000001</v>
      </c>
      <c r="U127" s="351">
        <f t="shared" ref="U127:W127" si="81">SUM(U128:U131)</f>
        <v>18127.5</v>
      </c>
      <c r="V127" s="351">
        <f t="shared" si="81"/>
        <v>18387.5</v>
      </c>
      <c r="W127" s="351">
        <f t="shared" si="81"/>
        <v>18629.3</v>
      </c>
      <c r="X127" s="351">
        <f t="shared" ref="X127:Y127" si="82">SUM(X128:X131)</f>
        <v>18878.2</v>
      </c>
      <c r="Y127" s="351">
        <f t="shared" si="82"/>
        <v>19227.800000000003</v>
      </c>
      <c r="Z127" s="351">
        <f t="shared" ref="Z127" si="83">SUM(Z128:Z131)</f>
        <v>19369.399999999998</v>
      </c>
      <c r="AA127" s="351">
        <f>SUM(AA128:AA131)</f>
        <v>19433.100000000002</v>
      </c>
      <c r="AB127" s="351">
        <f>SUM(AB128:AB131)</f>
        <v>19693.8</v>
      </c>
      <c r="AC127" s="351">
        <f>SUM(AC128:AC131)</f>
        <v>19941.400000000001</v>
      </c>
      <c r="AD127" s="326"/>
      <c r="AE127" s="326"/>
      <c r="AF127" s="326"/>
      <c r="AG127" s="326"/>
      <c r="AH127" s="326"/>
      <c r="AI127" s="326"/>
      <c r="AJ127" s="326"/>
      <c r="AK127" s="326"/>
      <c r="AL127" s="326"/>
      <c r="AM127" s="326"/>
      <c r="AN127" s="326"/>
    </row>
    <row r="128" spans="4:72" x14ac:dyDescent="0.35">
      <c r="D128" s="876" t="s">
        <v>783</v>
      </c>
      <c r="E128" s="245" t="s">
        <v>779</v>
      </c>
      <c r="F128" s="790">
        <f>'Haver Pivoted'!GQ81</f>
        <v>9285</v>
      </c>
      <c r="G128" s="438">
        <f>'Haver Pivoted'!GR81</f>
        <v>9341</v>
      </c>
      <c r="H128" s="438">
        <f>'Haver Pivoted'!GS81</f>
        <v>9488.7999999999993</v>
      </c>
      <c r="I128" s="438">
        <f>'Haver Pivoted'!GT81</f>
        <v>9636.5</v>
      </c>
      <c r="J128" s="438">
        <f>'Haver Pivoted'!GU81</f>
        <v>9005.2999999999993</v>
      </c>
      <c r="K128" s="438">
        <f>'Haver Pivoted'!GV81</f>
        <v>9441.7999999999993</v>
      </c>
      <c r="L128" s="438">
        <f>'Haver Pivoted'!GW81</f>
        <v>9809.5</v>
      </c>
      <c r="M128" s="438">
        <f>'Haver Pivoted'!GX81</f>
        <v>9889.7999999999993</v>
      </c>
      <c r="N128" s="438">
        <f>'Haver Pivoted'!GY81</f>
        <v>10182.5</v>
      </c>
      <c r="O128" s="438">
        <f>'Haver Pivoted'!GZ81</f>
        <v>10462.799999999999</v>
      </c>
      <c r="P128" s="438">
        <f>'Haver Pivoted'!HA81</f>
        <v>10772</v>
      </c>
      <c r="Q128" s="438">
        <f>'Haver Pivoted'!HB81</f>
        <v>10909.7</v>
      </c>
      <c r="R128" s="438">
        <f>'Haver Pivoted'!HC81</f>
        <v>11012.9</v>
      </c>
      <c r="S128" s="351">
        <f>'Haver Pivoted'!HD81</f>
        <v>11296.3</v>
      </c>
      <c r="T128" s="351">
        <f>'Haver Pivoted'!HE81</f>
        <v>11343.1</v>
      </c>
      <c r="U128" s="351">
        <f>'Haver Pivoted'!HF81</f>
        <v>11499.3</v>
      </c>
      <c r="V128" s="351">
        <f>'Haver Pivoted'!HG81</f>
        <v>11660.4</v>
      </c>
      <c r="W128" s="351">
        <f>'Haver Pivoted'!HH81</f>
        <v>11843.5</v>
      </c>
      <c r="X128" s="351">
        <f>'Haver Pivoted'!HI81</f>
        <v>11975.4</v>
      </c>
      <c r="Y128" s="351">
        <f>'Haver Pivoted'!HJ81</f>
        <v>12270.7</v>
      </c>
      <c r="Z128" s="351">
        <f>'Haver Pivoted'!HK81</f>
        <v>12363.5</v>
      </c>
      <c r="AA128" s="351">
        <f>'Haver Pivoted'!HL81</f>
        <v>12425.1</v>
      </c>
      <c r="AB128" s="351">
        <f>'Haver Pivoted'!HM81</f>
        <v>12627.8</v>
      </c>
      <c r="AC128" s="351">
        <f>'Haver Pivoted'!HN81</f>
        <v>12788.7</v>
      </c>
      <c r="AD128" s="326"/>
      <c r="AE128" s="326"/>
      <c r="AF128" s="326"/>
      <c r="AG128" s="326"/>
      <c r="AH128" s="326"/>
      <c r="AI128" s="326"/>
      <c r="AJ128" s="326"/>
      <c r="AK128" s="326"/>
      <c r="AL128" s="326"/>
      <c r="AM128" s="326"/>
      <c r="AN128" s="326"/>
    </row>
    <row r="129" spans="4:40" x14ac:dyDescent="0.35">
      <c r="D129" s="876" t="s">
        <v>510</v>
      </c>
      <c r="E129" s="245" t="s">
        <v>780</v>
      </c>
      <c r="F129" s="790">
        <f>'Haver Pivoted'!GQ82</f>
        <v>1535.6</v>
      </c>
      <c r="G129" s="438">
        <f>'Haver Pivoted'!GR82</f>
        <v>1570.9</v>
      </c>
      <c r="H129" s="438">
        <f>'Haver Pivoted'!GS82</f>
        <v>1582.7</v>
      </c>
      <c r="I129" s="438">
        <f>'Haver Pivoted'!GT82</f>
        <v>1577.7</v>
      </c>
      <c r="J129" s="438">
        <f>'Haver Pivoted'!GU82</f>
        <v>1424.4</v>
      </c>
      <c r="K129" s="438">
        <f>'Haver Pivoted'!GV82</f>
        <v>1705.8</v>
      </c>
      <c r="L129" s="438">
        <f>'Haver Pivoted'!GW82</f>
        <v>1668.1</v>
      </c>
      <c r="M129" s="438">
        <f>'Haver Pivoted'!GX82</f>
        <v>1697.5</v>
      </c>
      <c r="N129" s="438">
        <f>'Haver Pivoted'!GY82</f>
        <v>1845.5</v>
      </c>
      <c r="O129" s="438">
        <f>'Haver Pivoted'!GZ82</f>
        <v>1867.1</v>
      </c>
      <c r="P129" s="438">
        <f>'Haver Pivoted'!HA82</f>
        <v>1850.8</v>
      </c>
      <c r="Q129" s="438">
        <f>'Haver Pivoted'!HB82</f>
        <v>1833.3</v>
      </c>
      <c r="R129" s="438">
        <f>'Haver Pivoted'!HC82</f>
        <v>1850.1</v>
      </c>
      <c r="S129" s="351">
        <f>'Haver Pivoted'!HD82</f>
        <v>1895.3</v>
      </c>
      <c r="T129" s="351">
        <f>'Haver Pivoted'!HE82</f>
        <v>1915.5</v>
      </c>
      <c r="U129" s="351">
        <f>'Haver Pivoted'!HF82</f>
        <v>1934.7</v>
      </c>
      <c r="V129" s="351">
        <f>'Haver Pivoted'!HG82</f>
        <v>1936.6</v>
      </c>
      <c r="W129" s="351">
        <f>'Haver Pivoted'!HH82</f>
        <v>1954.6</v>
      </c>
      <c r="X129" s="351">
        <f>'Haver Pivoted'!HI82</f>
        <v>1970.1</v>
      </c>
      <c r="Y129" s="351">
        <f>'Haver Pivoted'!HJ82</f>
        <v>1972.1</v>
      </c>
      <c r="Z129" s="351">
        <f>'Haver Pivoted'!HK82</f>
        <v>2002.3</v>
      </c>
      <c r="AA129" s="351">
        <f>'Haver Pivoted'!HL82</f>
        <v>2013.5</v>
      </c>
      <c r="AB129" s="351">
        <f>'Haver Pivoted'!HM82</f>
        <v>2035.5</v>
      </c>
      <c r="AC129" s="351">
        <f>'Haver Pivoted'!HN82</f>
        <v>2053.1999999999998</v>
      </c>
      <c r="AD129" s="326"/>
      <c r="AE129" s="326"/>
      <c r="AF129" s="326"/>
      <c r="AG129" s="326"/>
      <c r="AH129" s="326"/>
      <c r="AI129" s="326"/>
      <c r="AJ129" s="326"/>
      <c r="AK129" s="326"/>
      <c r="AL129" s="326"/>
      <c r="AM129" s="326"/>
      <c r="AN129" s="326"/>
    </row>
    <row r="130" spans="4:40" x14ac:dyDescent="0.35">
      <c r="D130" s="876" t="s">
        <v>511</v>
      </c>
      <c r="E130" s="245" t="s">
        <v>786</v>
      </c>
      <c r="F130" s="790">
        <f>'Haver Pivoted'!GQ83</f>
        <v>682.8</v>
      </c>
      <c r="G130" s="438">
        <f>'Haver Pivoted'!GR83</f>
        <v>690.2</v>
      </c>
      <c r="H130" s="438">
        <f>'Haver Pivoted'!GS83</f>
        <v>706.3</v>
      </c>
      <c r="I130" s="438">
        <f>'Haver Pivoted'!GT83</f>
        <v>729.3</v>
      </c>
      <c r="J130" s="438">
        <f>'Haver Pivoted'!GU83</f>
        <v>731.2</v>
      </c>
      <c r="K130" s="438">
        <f>'Haver Pivoted'!GV83</f>
        <v>744.6</v>
      </c>
      <c r="L130" s="438">
        <f>'Haver Pivoted'!GW83</f>
        <v>747.4</v>
      </c>
      <c r="M130" s="438">
        <f>'Haver Pivoted'!GX83</f>
        <v>745.6</v>
      </c>
      <c r="N130" s="438">
        <f>'Haver Pivoted'!GY83</f>
        <v>761.6</v>
      </c>
      <c r="O130" s="438">
        <f>'Haver Pivoted'!GZ83</f>
        <v>781.2</v>
      </c>
      <c r="P130" s="438">
        <f>'Haver Pivoted'!HA83</f>
        <v>800.7</v>
      </c>
      <c r="Q130" s="438">
        <f>'Haver Pivoted'!HB83</f>
        <v>814.3</v>
      </c>
      <c r="R130" s="438">
        <f>'Haver Pivoted'!HC83</f>
        <v>858.2</v>
      </c>
      <c r="S130" s="351">
        <f>'Haver Pivoted'!HD83</f>
        <v>889.5</v>
      </c>
      <c r="T130" s="351">
        <f>'Haver Pivoted'!HE83</f>
        <v>919.1</v>
      </c>
      <c r="U130" s="351">
        <f>'Haver Pivoted'!HF83</f>
        <v>963.6</v>
      </c>
      <c r="V130" s="351">
        <f>'Haver Pivoted'!HG83</f>
        <v>984.1</v>
      </c>
      <c r="W130" s="351">
        <f>'Haver Pivoted'!HH83</f>
        <v>995</v>
      </c>
      <c r="X130" s="351">
        <f>'Haver Pivoted'!HI83</f>
        <v>1013.6</v>
      </c>
      <c r="Y130" s="351">
        <f>'Haver Pivoted'!HJ83</f>
        <v>1046.0999999999999</v>
      </c>
      <c r="Z130" s="351">
        <f>'Haver Pivoted'!HK83</f>
        <v>1053.4000000000001</v>
      </c>
      <c r="AA130" s="351">
        <f>'Haver Pivoted'!HL83</f>
        <v>1055.7</v>
      </c>
      <c r="AB130" s="351">
        <f>'Haver Pivoted'!HM83</f>
        <v>1072.2</v>
      </c>
      <c r="AC130" s="351">
        <f>'Haver Pivoted'!HN83</f>
        <v>1091.8</v>
      </c>
      <c r="AD130" s="326"/>
      <c r="AE130" s="326"/>
      <c r="AF130" s="326"/>
      <c r="AG130" s="326"/>
      <c r="AH130" s="326"/>
      <c r="AI130" s="326"/>
      <c r="AJ130" s="326"/>
      <c r="AK130" s="326"/>
      <c r="AL130" s="326"/>
      <c r="AM130" s="326"/>
      <c r="AN130" s="326"/>
    </row>
    <row r="131" spans="4:40" x14ac:dyDescent="0.35">
      <c r="D131" s="876" t="s">
        <v>512</v>
      </c>
      <c r="E131" s="245" t="s">
        <v>782</v>
      </c>
      <c r="F131" s="790">
        <f>'Haver Pivoted'!GQ84</f>
        <v>2961.5</v>
      </c>
      <c r="G131" s="438">
        <f>'Haver Pivoted'!GR84</f>
        <v>2962.7</v>
      </c>
      <c r="H131" s="438">
        <f>'Haver Pivoted'!GS84</f>
        <v>2955.4</v>
      </c>
      <c r="I131" s="438">
        <f>'Haver Pivoted'!GT84</f>
        <v>2932.4</v>
      </c>
      <c r="J131" s="438">
        <f>'Haver Pivoted'!GU84</f>
        <v>2874</v>
      </c>
      <c r="K131" s="438">
        <f>'Haver Pivoted'!GV84</f>
        <v>2862.9</v>
      </c>
      <c r="L131" s="438">
        <f>'Haver Pivoted'!GW84</f>
        <v>2980.3</v>
      </c>
      <c r="M131" s="438">
        <f>'Haver Pivoted'!GX84</f>
        <v>3048</v>
      </c>
      <c r="N131" s="438">
        <f>'Haver Pivoted'!GY84</f>
        <v>3158.1</v>
      </c>
      <c r="O131" s="438">
        <f>'Haver Pivoted'!GZ84</f>
        <v>3225.4</v>
      </c>
      <c r="P131" s="438">
        <f>'Haver Pivoted'!HA84</f>
        <v>3291.3</v>
      </c>
      <c r="Q131" s="438">
        <f>'Haver Pivoted'!HB84</f>
        <v>3333.6</v>
      </c>
      <c r="R131" s="438">
        <f>'Haver Pivoted'!HC84</f>
        <v>3424.9</v>
      </c>
      <c r="S131" s="351">
        <f>'Haver Pivoted'!HD84</f>
        <v>3509.5</v>
      </c>
      <c r="T131" s="351">
        <f>'Haver Pivoted'!HE84</f>
        <v>3628.2</v>
      </c>
      <c r="U131" s="351">
        <f>'Haver Pivoted'!HF84</f>
        <v>3729.9</v>
      </c>
      <c r="V131" s="351">
        <f>'Haver Pivoted'!HG84</f>
        <v>3806.4</v>
      </c>
      <c r="W131" s="351">
        <f>'Haver Pivoted'!HH84</f>
        <v>3836.2</v>
      </c>
      <c r="X131" s="351">
        <f>'Haver Pivoted'!HI84</f>
        <v>3919.1</v>
      </c>
      <c r="Y131" s="351">
        <f>'Haver Pivoted'!HJ84</f>
        <v>3938.9</v>
      </c>
      <c r="Z131" s="351">
        <f>'Haver Pivoted'!HK84</f>
        <v>3950.2</v>
      </c>
      <c r="AA131" s="351">
        <f>'Haver Pivoted'!HL84</f>
        <v>3938.8</v>
      </c>
      <c r="AB131" s="351">
        <f>'Haver Pivoted'!HM84</f>
        <v>3958.3</v>
      </c>
      <c r="AC131" s="351">
        <f>'Haver Pivoted'!HN84</f>
        <v>4007.7</v>
      </c>
      <c r="AD131" s="326"/>
      <c r="AE131" s="326"/>
      <c r="AF131" s="326"/>
      <c r="AG131" s="326"/>
      <c r="AH131" s="326"/>
      <c r="AI131" s="326"/>
      <c r="AJ131" s="326"/>
      <c r="AK131" s="326"/>
      <c r="AL131" s="326"/>
      <c r="AM131" s="326"/>
      <c r="AN131" s="326"/>
    </row>
    <row r="132" spans="4:40" x14ac:dyDescent="0.35">
      <c r="D132" s="666" t="s">
        <v>499</v>
      </c>
      <c r="F132" s="790">
        <f>F128</f>
        <v>9285</v>
      </c>
      <c r="G132" s="438">
        <f t="shared" ref="G132:O132" si="84">G128</f>
        <v>9341</v>
      </c>
      <c r="H132" s="438">
        <f t="shared" si="84"/>
        <v>9488.7999999999993</v>
      </c>
      <c r="I132" s="438">
        <f t="shared" si="84"/>
        <v>9636.5</v>
      </c>
      <c r="J132" s="438">
        <f t="shared" si="84"/>
        <v>9005.2999999999993</v>
      </c>
      <c r="K132" s="438">
        <f t="shared" si="84"/>
        <v>9441.7999999999993</v>
      </c>
      <c r="L132" s="438">
        <f t="shared" si="84"/>
        <v>9809.5</v>
      </c>
      <c r="M132" s="438">
        <f t="shared" si="84"/>
        <v>9889.7999999999993</v>
      </c>
      <c r="N132" s="438">
        <f t="shared" si="84"/>
        <v>10182.5</v>
      </c>
      <c r="O132" s="438">
        <f t="shared" si="84"/>
        <v>10462.799999999999</v>
      </c>
      <c r="P132" s="438">
        <f t="shared" ref="P132:T132" si="85">P128</f>
        <v>10772</v>
      </c>
      <c r="Q132" s="438">
        <f t="shared" si="85"/>
        <v>10909.7</v>
      </c>
      <c r="R132" s="438">
        <f t="shared" si="85"/>
        <v>11012.9</v>
      </c>
      <c r="S132" s="351">
        <f t="shared" si="85"/>
        <v>11296.3</v>
      </c>
      <c r="T132" s="351">
        <f t="shared" si="85"/>
        <v>11343.1</v>
      </c>
      <c r="U132" s="351">
        <f t="shared" ref="U132:W132" si="86">U128</f>
        <v>11499.3</v>
      </c>
      <c r="V132" s="351">
        <f t="shared" si="86"/>
        <v>11660.4</v>
      </c>
      <c r="W132" s="351">
        <f t="shared" si="86"/>
        <v>11843.5</v>
      </c>
      <c r="X132" s="351">
        <f t="shared" ref="X132:Y132" si="87">X128</f>
        <v>11975.4</v>
      </c>
      <c r="Y132" s="351">
        <f t="shared" si="87"/>
        <v>12270.7</v>
      </c>
      <c r="Z132" s="351">
        <f t="shared" ref="Z132" si="88">Z128</f>
        <v>12363.5</v>
      </c>
      <c r="AA132" s="351">
        <f t="shared" ref="AA132:AB132" si="89">AA128</f>
        <v>12425.1</v>
      </c>
      <c r="AB132" s="351">
        <f t="shared" si="89"/>
        <v>12627.8</v>
      </c>
      <c r="AC132" s="351">
        <f t="shared" ref="AC132" si="90">AC128</f>
        <v>12788.7</v>
      </c>
      <c r="AD132" s="326"/>
      <c r="AE132" s="326"/>
      <c r="AF132" s="326"/>
      <c r="AG132" s="326"/>
      <c r="AH132" s="326"/>
      <c r="AI132" s="326"/>
      <c r="AJ132" s="326"/>
      <c r="AK132" s="326"/>
      <c r="AL132" s="326"/>
      <c r="AM132" s="326"/>
      <c r="AN132" s="326"/>
    </row>
    <row r="133" spans="4:40" x14ac:dyDescent="0.35">
      <c r="D133" s="666" t="s">
        <v>500</v>
      </c>
      <c r="E133" s="245" t="s">
        <v>516</v>
      </c>
      <c r="F133" s="790">
        <f>'Haver Pivoted'!GQ5</f>
        <v>14350.7</v>
      </c>
      <c r="G133" s="438">
        <f>'Haver Pivoted'!GR5</f>
        <v>14548.3</v>
      </c>
      <c r="H133" s="438">
        <f>'Haver Pivoted'!GS5</f>
        <v>14701</v>
      </c>
      <c r="I133" s="438">
        <f>'Haver Pivoted'!GT5</f>
        <v>14496.2</v>
      </c>
      <c r="J133" s="438">
        <f>'Haver Pivoted'!GU5</f>
        <v>13175.6</v>
      </c>
      <c r="K133" s="438">
        <f>'Haver Pivoted'!GV5</f>
        <v>14478</v>
      </c>
      <c r="L133" s="438">
        <f>'Haver Pivoted'!GW5</f>
        <v>14752.7</v>
      </c>
      <c r="M133" s="438">
        <f>'Haver Pivoted'!GX5</f>
        <v>15259.4</v>
      </c>
      <c r="N133" s="438">
        <f>'Haver Pivoted'!GY5</f>
        <v>16016.3</v>
      </c>
      <c r="O133" s="438">
        <f>'Haver Pivoted'!GZ5</f>
        <v>16363.9</v>
      </c>
      <c r="P133" s="438">
        <f>'Haver Pivoted'!HA5</f>
        <v>16816.099999999999</v>
      </c>
      <c r="Q133" s="438">
        <f>'Haver Pivoted'!HB5</f>
        <v>17175.099999999999</v>
      </c>
      <c r="R133" s="438">
        <f>'Haver Pivoted'!HC5</f>
        <v>17603.8</v>
      </c>
      <c r="S133" s="351">
        <f>'Haver Pivoted'!HD5</f>
        <v>17876.2</v>
      </c>
      <c r="T133" s="351">
        <f>'Haver Pivoted'!HE5</f>
        <v>18108.3</v>
      </c>
      <c r="U133" s="351">
        <f>'Haver Pivoted'!HF5</f>
        <v>18506.2</v>
      </c>
      <c r="V133" s="351">
        <f>'Haver Pivoted'!HG5</f>
        <v>18685.7</v>
      </c>
      <c r="W133" s="351">
        <f>'Haver Pivoted'!HH5</f>
        <v>18929</v>
      </c>
      <c r="X133" s="351">
        <f>'Haver Pivoted'!HI5</f>
        <v>19170.2</v>
      </c>
      <c r="Y133" s="351">
        <f>'Haver Pivoted'!HJ5</f>
        <v>19424.8</v>
      </c>
      <c r="Z133" s="351">
        <f>'Haver Pivoted'!HK5</f>
        <v>19682.7</v>
      </c>
      <c r="AA133" s="351">
        <f>'Haver Pivoted'!HL5</f>
        <v>19938.400000000001</v>
      </c>
      <c r="AB133" s="351">
        <f>'Haver Pivoted'!HM5</f>
        <v>20255.5</v>
      </c>
      <c r="AC133" s="351">
        <f>'Haver Pivoted'!HN5</f>
        <v>20461.599999999999</v>
      </c>
      <c r="AD133" s="326"/>
      <c r="AE133" s="326"/>
      <c r="AF133" s="326"/>
      <c r="AG133" s="326"/>
      <c r="AH133" s="326"/>
      <c r="AI133" s="326"/>
      <c r="AJ133" s="326"/>
      <c r="AK133" s="326"/>
      <c r="AL133" s="326"/>
      <c r="AM133" s="326"/>
      <c r="AN133" s="326"/>
    </row>
    <row r="134" spans="4:40" x14ac:dyDescent="0.35">
      <c r="D134" s="666" t="s">
        <v>513</v>
      </c>
      <c r="E134" s="245" t="s">
        <v>781</v>
      </c>
      <c r="F134" s="790">
        <f>'Haver Pivoted'!GQ85</f>
        <v>1906.5</v>
      </c>
      <c r="G134" s="438">
        <f>'Haver Pivoted'!GR85</f>
        <v>1968.1</v>
      </c>
      <c r="H134" s="438">
        <f>'Haver Pivoted'!GS85</f>
        <v>2003.2</v>
      </c>
      <c r="I134" s="438">
        <f>'Haver Pivoted'!GT85</f>
        <v>1752.6</v>
      </c>
      <c r="J134" s="438">
        <f>'Haver Pivoted'!GU85</f>
        <v>1686.1</v>
      </c>
      <c r="K134" s="438">
        <f>'Haver Pivoted'!GV85</f>
        <v>2323.9</v>
      </c>
      <c r="L134" s="438">
        <f>'Haver Pivoted'!GW85</f>
        <v>2101.5</v>
      </c>
      <c r="M134" s="438">
        <f>'Haver Pivoted'!GX85</f>
        <v>2438.6999999999998</v>
      </c>
      <c r="N134" s="438">
        <f>'Haver Pivoted'!GY85</f>
        <v>2763.8</v>
      </c>
      <c r="O134" s="438">
        <f>'Haver Pivoted'!GZ85</f>
        <v>2747.4</v>
      </c>
      <c r="P134" s="438">
        <f>'Haver Pivoted'!HA85</f>
        <v>2751.8</v>
      </c>
      <c r="Q134" s="438">
        <f>'Haver Pivoted'!HB85</f>
        <v>2738.7</v>
      </c>
      <c r="R134" s="351">
        <f>'Haver Pivoted'!HC85</f>
        <v>2876.9</v>
      </c>
      <c r="S134" s="351">
        <f>'Haver Pivoted'!HD85</f>
        <v>2950.7</v>
      </c>
      <c r="T134" s="351">
        <f>'Haver Pivoted'!HE85</f>
        <v>2921.1</v>
      </c>
      <c r="U134" s="351">
        <f>'Haver Pivoted'!HF85</f>
        <v>2941.2</v>
      </c>
      <c r="V134" s="351">
        <f>'Haver Pivoted'!HG85</f>
        <v>2953.4</v>
      </c>
      <c r="W134" s="351">
        <f>'Haver Pivoted'!HH85</f>
        <v>3079.7</v>
      </c>
      <c r="X134" s="351">
        <f>'Haver Pivoted'!HI85</f>
        <v>3253.6</v>
      </c>
      <c r="Y134" s="351">
        <f>'Haver Pivoted'!HJ85</f>
        <v>3186.2</v>
      </c>
      <c r="Z134" s="351">
        <f>'Haver Pivoted'!HK85</f>
        <v>3337.4</v>
      </c>
      <c r="AA134" s="351">
        <f>'Haver Pivoted'!HL85</f>
        <v>3365.3</v>
      </c>
      <c r="AB134" s="351">
        <f>'Haver Pivoted'!HM85</f>
        <v>3487.8</v>
      </c>
      <c r="AC134" s="351">
        <f>'Haver Pivoted'!HN85</f>
        <v>3435.2</v>
      </c>
      <c r="AD134" s="326"/>
      <c r="AE134" s="326"/>
      <c r="AF134" s="326"/>
      <c r="AG134" s="326"/>
      <c r="AH134" s="326"/>
      <c r="AI134" s="326"/>
      <c r="AJ134" s="326"/>
      <c r="AK134" s="326"/>
      <c r="AL134" s="326"/>
      <c r="AM134" s="326"/>
      <c r="AN134" s="326"/>
    </row>
    <row r="135" spans="4:40" x14ac:dyDescent="0.35">
      <c r="D135" s="285" t="s">
        <v>514</v>
      </c>
      <c r="F135" s="272"/>
      <c r="G135" s="229"/>
      <c r="H135" s="229"/>
      <c r="I135" s="229"/>
      <c r="J135" s="229"/>
      <c r="K135" s="229"/>
      <c r="L135" s="229"/>
      <c r="M135" s="229"/>
      <c r="N135" s="229"/>
      <c r="O135" s="229"/>
      <c r="P135" s="229"/>
      <c r="Q135" s="229"/>
      <c r="R135" s="229"/>
      <c r="S135" s="229"/>
      <c r="T135" s="229"/>
      <c r="U135" s="229"/>
      <c r="V135" s="229"/>
      <c r="W135" s="229"/>
      <c r="X135" s="229"/>
      <c r="Y135" s="229"/>
      <c r="Z135" s="229"/>
      <c r="AA135" s="229"/>
      <c r="AB135" s="229"/>
      <c r="AC135" s="229"/>
      <c r="AD135" s="229"/>
      <c r="AE135" s="229"/>
      <c r="AF135" s="229"/>
      <c r="AG135" s="229"/>
      <c r="AH135" s="229"/>
      <c r="AI135" s="229"/>
      <c r="AJ135" s="229"/>
      <c r="AK135" s="229"/>
      <c r="AL135" s="229"/>
      <c r="AM135" s="229"/>
      <c r="AN135" s="229"/>
    </row>
    <row r="136" spans="4:40" x14ac:dyDescent="0.35">
      <c r="D136" s="825" t="s">
        <v>484</v>
      </c>
      <c r="F136" s="796">
        <f t="shared" ref="F136:AA136" si="91">F23/F127</f>
        <v>3.670955208815823E-2</v>
      </c>
      <c r="G136" s="821">
        <f t="shared" si="91"/>
        <v>3.4027243765791498E-2</v>
      </c>
      <c r="H136" s="821">
        <f t="shared" si="91"/>
        <v>3.3265006923139578E-2</v>
      </c>
      <c r="I136" s="821">
        <f t="shared" si="91"/>
        <v>3.3107240570318434E-2</v>
      </c>
      <c r="J136" s="821">
        <f t="shared" si="91"/>
        <v>3.4570962386621919E-2</v>
      </c>
      <c r="K136" s="821">
        <f t="shared" si="91"/>
        <v>3.4672757216149E-2</v>
      </c>
      <c r="L136" s="821">
        <f t="shared" si="91"/>
        <v>3.4751040755526034E-2</v>
      </c>
      <c r="M136" s="821">
        <f t="shared" si="91"/>
        <v>3.6343777022150851E-2</v>
      </c>
      <c r="N136" s="821">
        <f t="shared" si="91"/>
        <v>3.6751381076895101E-2</v>
      </c>
      <c r="O136" s="821">
        <f t="shared" si="91"/>
        <v>3.528295534539222E-2</v>
      </c>
      <c r="P136" s="821">
        <f t="shared" si="91"/>
        <v>3.5842486897839046E-2</v>
      </c>
      <c r="Q136" s="821">
        <f t="shared" si="91"/>
        <v>3.8878922970356826E-2</v>
      </c>
      <c r="R136" s="821">
        <f t="shared" si="91"/>
        <v>4.0423186613865542E-2</v>
      </c>
      <c r="S136" s="819">
        <f t="shared" si="91"/>
        <v>3.3915841415301358E-2</v>
      </c>
      <c r="T136" s="819">
        <f t="shared" si="91"/>
        <v>3.4123520855446787E-2</v>
      </c>
      <c r="U136" s="793">
        <f t="shared" si="91"/>
        <v>3.1885257205902635E-2</v>
      </c>
      <c r="V136" s="793">
        <f t="shared" si="91"/>
        <v>3.1630183548606389E-2</v>
      </c>
      <c r="W136" s="793">
        <f t="shared" si="91"/>
        <v>3.2502563166624622E-2</v>
      </c>
      <c r="X136" s="793">
        <f t="shared" si="91"/>
        <v>3.2423642084520768E-2</v>
      </c>
      <c r="Y136" s="793">
        <f t="shared" si="91"/>
        <v>3.1698894309281349E-2</v>
      </c>
      <c r="Z136" s="793">
        <f t="shared" si="91"/>
        <v>3.2525529959627042E-2</v>
      </c>
      <c r="AA136" s="793">
        <f t="shared" si="91"/>
        <v>3.3731108263735585E-2</v>
      </c>
      <c r="AB136" s="793">
        <f t="shared" ref="AB136:AC136" si="92">AB23/AB127</f>
        <v>3.4046248057764371E-2</v>
      </c>
      <c r="AC136" s="793">
        <f t="shared" si="92"/>
        <v>3.3979560111125594E-2</v>
      </c>
      <c r="AD136" s="820">
        <f t="shared" ref="AD136:AD139" si="93">AC136</f>
        <v>3.3979560111125594E-2</v>
      </c>
      <c r="AE136" s="820">
        <f t="shared" ref="AE136:AE139" si="94">AD136</f>
        <v>3.3979560111125594E-2</v>
      </c>
      <c r="AF136" s="820">
        <f t="shared" ref="AF136:AF138" si="95">AE136</f>
        <v>3.3979560111125594E-2</v>
      </c>
      <c r="AG136" s="820">
        <f>AF136</f>
        <v>3.3979560111125594E-2</v>
      </c>
      <c r="AH136" s="820">
        <f t="shared" ref="AH136:AJ136" si="96">AG136</f>
        <v>3.3979560111125594E-2</v>
      </c>
      <c r="AI136" s="820">
        <f t="shared" si="96"/>
        <v>3.3979560111125594E-2</v>
      </c>
      <c r="AJ136" s="820">
        <f t="shared" si="96"/>
        <v>3.3979560111125594E-2</v>
      </c>
      <c r="AK136" s="820">
        <f t="shared" ref="AK136:AK139" si="97">AJ136</f>
        <v>3.3979560111125594E-2</v>
      </c>
      <c r="AL136" s="820">
        <f t="shared" ref="AL136:AL139" si="98">AK136</f>
        <v>3.3979560111125594E-2</v>
      </c>
      <c r="AM136" s="820">
        <f t="shared" ref="AM136:AM139" si="99">AL136</f>
        <v>3.3979560111125594E-2</v>
      </c>
      <c r="AN136" s="820">
        <f t="shared" ref="AN136:AN139" si="100">AM136</f>
        <v>3.3979560111125594E-2</v>
      </c>
    </row>
    <row r="137" spans="4:40" x14ac:dyDescent="0.35">
      <c r="D137" s="825" t="s">
        <v>481</v>
      </c>
      <c r="F137" s="796">
        <f t="shared" ref="F137:AA137" si="101">F25/F132</f>
        <v>2.2401723209477652E-3</v>
      </c>
      <c r="G137" s="821">
        <f t="shared" si="101"/>
        <v>2.2053313349748422E-3</v>
      </c>
      <c r="H137" s="821">
        <f t="shared" si="101"/>
        <v>2.1604417839979767E-3</v>
      </c>
      <c r="I137" s="821">
        <f t="shared" si="101"/>
        <v>2.1065739635759873E-3</v>
      </c>
      <c r="J137" s="821">
        <f t="shared" si="101"/>
        <v>2.1431823481727428E-3</v>
      </c>
      <c r="K137" s="821">
        <f t="shared" si="101"/>
        <v>2.1076489652396787E-3</v>
      </c>
      <c r="L137" s="821">
        <f t="shared" si="101"/>
        <v>2.1000050970997504E-3</v>
      </c>
      <c r="M137" s="821">
        <f t="shared" si="101"/>
        <v>2.153734150336711E-3</v>
      </c>
      <c r="N137" s="821">
        <f t="shared" si="101"/>
        <v>2.1605696047139701E-3</v>
      </c>
      <c r="O137" s="821">
        <f t="shared" si="101"/>
        <v>2.1600336430018735E-3</v>
      </c>
      <c r="P137" s="821">
        <f t="shared" si="101"/>
        <v>2.1444485703676201E-3</v>
      </c>
      <c r="Q137" s="821">
        <f t="shared" si="101"/>
        <v>2.1448802441863661E-3</v>
      </c>
      <c r="R137" s="821">
        <f t="shared" si="101"/>
        <v>2.0975401574517159E-3</v>
      </c>
      <c r="S137" s="819">
        <f t="shared" si="101"/>
        <v>2.009507537866381E-3</v>
      </c>
      <c r="T137" s="819">
        <f t="shared" si="101"/>
        <v>1.9218732092637816E-3</v>
      </c>
      <c r="U137" s="793">
        <f t="shared" si="101"/>
        <v>1.808805753393685E-3</v>
      </c>
      <c r="V137" s="793">
        <f t="shared" si="101"/>
        <v>1.7580872011251759E-3</v>
      </c>
      <c r="W137" s="793">
        <f t="shared" si="101"/>
        <v>1.7900113986574913E-3</v>
      </c>
      <c r="X137" s="793">
        <f t="shared" si="101"/>
        <v>1.9039030011523625E-3</v>
      </c>
      <c r="Y137" s="793">
        <f t="shared" si="101"/>
        <v>2.0373735809693008E-3</v>
      </c>
      <c r="Z137" s="793">
        <f t="shared" si="101"/>
        <v>2.1595826424556154E-3</v>
      </c>
      <c r="AA137" s="793">
        <f t="shared" si="101"/>
        <v>2.2132618650956529E-3</v>
      </c>
      <c r="AB137" s="793">
        <f t="shared" ref="AB137:AC137" si="102">AB25/AB132</f>
        <v>2.1856538747842065E-3</v>
      </c>
      <c r="AC137" s="793">
        <f t="shared" si="102"/>
        <v>2.1112388280278682E-3</v>
      </c>
      <c r="AD137" s="820">
        <f t="shared" si="93"/>
        <v>2.1112388280278682E-3</v>
      </c>
      <c r="AE137" s="820">
        <f t="shared" si="94"/>
        <v>2.1112388280278682E-3</v>
      </c>
      <c r="AF137" s="820">
        <f t="shared" si="95"/>
        <v>2.1112388280278682E-3</v>
      </c>
      <c r="AG137" s="820">
        <f>AF137</f>
        <v>2.1112388280278682E-3</v>
      </c>
      <c r="AH137" s="820">
        <f t="shared" ref="AH137:AJ138" si="103">AG137</f>
        <v>2.1112388280278682E-3</v>
      </c>
      <c r="AI137" s="820">
        <f t="shared" si="103"/>
        <v>2.1112388280278682E-3</v>
      </c>
      <c r="AJ137" s="820">
        <f t="shared" si="103"/>
        <v>2.1112388280278682E-3</v>
      </c>
      <c r="AK137" s="820">
        <f t="shared" si="97"/>
        <v>2.1112388280278682E-3</v>
      </c>
      <c r="AL137" s="820">
        <f t="shared" si="98"/>
        <v>2.1112388280278682E-3</v>
      </c>
      <c r="AM137" s="820">
        <f t="shared" si="99"/>
        <v>2.1112388280278682E-3</v>
      </c>
      <c r="AN137" s="820">
        <f t="shared" si="100"/>
        <v>2.1112388280278682E-3</v>
      </c>
    </row>
    <row r="138" spans="4:40" x14ac:dyDescent="0.35">
      <c r="D138" s="825" t="s">
        <v>482</v>
      </c>
      <c r="F138" s="796">
        <f t="shared" ref="F138:AA138" si="104">F26/F133</f>
        <v>9.414174918296668E-2</v>
      </c>
      <c r="G138" s="821">
        <f t="shared" si="104"/>
        <v>9.4636486737282019E-2</v>
      </c>
      <c r="H138" s="821">
        <f t="shared" si="104"/>
        <v>9.343582069246989E-2</v>
      </c>
      <c r="I138" s="821">
        <f t="shared" si="104"/>
        <v>9.4721375256963877E-2</v>
      </c>
      <c r="J138" s="821">
        <f t="shared" si="104"/>
        <v>9.7809587419168773E-2</v>
      </c>
      <c r="K138" s="821">
        <f t="shared" si="104"/>
        <v>9.6021549937836723E-2</v>
      </c>
      <c r="L138" s="821">
        <f t="shared" si="104"/>
        <v>9.569095826526669E-2</v>
      </c>
      <c r="M138" s="821">
        <f t="shared" si="104"/>
        <v>9.4119034824436093E-2</v>
      </c>
      <c r="N138" s="821">
        <f t="shared" si="104"/>
        <v>9.5171793735132335E-2</v>
      </c>
      <c r="O138" s="821">
        <f t="shared" si="104"/>
        <v>9.4005707685820616E-2</v>
      </c>
      <c r="P138" s="821">
        <f t="shared" si="104"/>
        <v>9.3915949595922962E-2</v>
      </c>
      <c r="Q138" s="821">
        <f t="shared" si="104"/>
        <v>9.3466704706231696E-2</v>
      </c>
      <c r="R138" s="821">
        <f t="shared" si="104"/>
        <v>9.3400288574057883E-2</v>
      </c>
      <c r="S138" s="819">
        <f t="shared" si="104"/>
        <v>9.3319609312941226E-2</v>
      </c>
      <c r="T138" s="819">
        <f t="shared" si="104"/>
        <v>9.2603944047757111E-2</v>
      </c>
      <c r="U138" s="793">
        <f t="shared" si="104"/>
        <v>9.1742226929353396E-2</v>
      </c>
      <c r="V138" s="793">
        <f t="shared" si="104"/>
        <v>9.1481721316300696E-2</v>
      </c>
      <c r="W138" s="793">
        <f t="shared" si="104"/>
        <v>9.1077183158117178E-2</v>
      </c>
      <c r="X138" s="793">
        <f t="shared" si="104"/>
        <v>9.0990182679366927E-2</v>
      </c>
      <c r="Y138" s="793">
        <f t="shared" si="104"/>
        <v>9.0647007948601782E-2</v>
      </c>
      <c r="Z138" s="793">
        <f t="shared" si="104"/>
        <v>9.0551601152280933E-2</v>
      </c>
      <c r="AA138" s="793">
        <f t="shared" si="104"/>
        <v>9.0002206796934547E-2</v>
      </c>
      <c r="AB138" s="793">
        <f t="shared" ref="AB138:AC138" si="105">AB26/AB133</f>
        <v>8.99360667473032E-2</v>
      </c>
      <c r="AC138" s="793">
        <f t="shared" si="105"/>
        <v>9.0212886577784743E-2</v>
      </c>
      <c r="AD138" s="820">
        <f t="shared" si="93"/>
        <v>9.0212886577784743E-2</v>
      </c>
      <c r="AE138" s="820">
        <f t="shared" si="94"/>
        <v>9.0212886577784743E-2</v>
      </c>
      <c r="AF138" s="820">
        <f t="shared" si="95"/>
        <v>9.0212886577784743E-2</v>
      </c>
      <c r="AG138" s="820">
        <f t="shared" ref="AG138" si="106">AF138</f>
        <v>9.0212886577784743E-2</v>
      </c>
      <c r="AH138" s="820">
        <f t="shared" si="103"/>
        <v>9.0212886577784743E-2</v>
      </c>
      <c r="AI138" s="820">
        <f t="shared" si="103"/>
        <v>9.0212886577784743E-2</v>
      </c>
      <c r="AJ138" s="820">
        <f t="shared" si="103"/>
        <v>9.0212886577784743E-2</v>
      </c>
      <c r="AK138" s="820">
        <f t="shared" si="97"/>
        <v>9.0212886577784743E-2</v>
      </c>
      <c r="AL138" s="820">
        <f t="shared" si="98"/>
        <v>9.0212886577784743E-2</v>
      </c>
      <c r="AM138" s="820">
        <f t="shared" si="99"/>
        <v>9.0212886577784743E-2</v>
      </c>
      <c r="AN138" s="820">
        <f t="shared" si="100"/>
        <v>9.0212886577784743E-2</v>
      </c>
    </row>
    <row r="139" spans="4:40" x14ac:dyDescent="0.35">
      <c r="D139" s="785" t="s">
        <v>515</v>
      </c>
      <c r="E139" s="367"/>
      <c r="F139" s="788">
        <f t="shared" ref="F139:AC139" si="107">F27/F134</f>
        <v>4.028324154209284E-2</v>
      </c>
      <c r="G139" s="789">
        <f t="shared" si="107"/>
        <v>3.7650525887912199E-2</v>
      </c>
      <c r="H139" s="789">
        <f t="shared" si="107"/>
        <v>3.5093849840255591E-2</v>
      </c>
      <c r="I139" s="789">
        <f t="shared" si="107"/>
        <v>3.6802464909277646E-2</v>
      </c>
      <c r="J139" s="789">
        <f t="shared" si="107"/>
        <v>3.9380819642963055E-2</v>
      </c>
      <c r="K139" s="789">
        <f t="shared" si="107"/>
        <v>3.5070355867292048E-2</v>
      </c>
      <c r="L139" s="789">
        <f t="shared" si="107"/>
        <v>3.9210088032357843E-2</v>
      </c>
      <c r="M139" s="789">
        <f t="shared" si="107"/>
        <v>3.4075532045762087E-2</v>
      </c>
      <c r="N139" s="789">
        <f t="shared" si="107"/>
        <v>3.3902597872494389E-2</v>
      </c>
      <c r="O139" s="789">
        <f t="shared" si="107"/>
        <v>4.3422872534032174E-2</v>
      </c>
      <c r="P139" s="789">
        <f t="shared" si="107"/>
        <v>6.1087288320372114E-2</v>
      </c>
      <c r="Q139" s="789">
        <f t="shared" si="107"/>
        <v>6.2365355825756752E-2</v>
      </c>
      <c r="R139" s="794">
        <f t="shared" si="107"/>
        <v>5.4781188084396394E-2</v>
      </c>
      <c r="S139" s="794">
        <f t="shared" si="107"/>
        <v>5.391940895380757E-2</v>
      </c>
      <c r="T139" s="898">
        <f t="shared" si="107"/>
        <v>5.5527027489644311E-2</v>
      </c>
      <c r="U139" s="822">
        <f t="shared" si="107"/>
        <v>5.3957568339453282E-2</v>
      </c>
      <c r="V139" s="822">
        <f t="shared" si="107"/>
        <v>5.4987472066093314E-2</v>
      </c>
      <c r="W139" s="822">
        <f t="shared" si="107"/>
        <v>5.3868883332792161E-2</v>
      </c>
      <c r="X139" s="822">
        <f t="shared" si="107"/>
        <v>5.1297024834030001E-2</v>
      </c>
      <c r="Y139" s="822">
        <f t="shared" si="107"/>
        <v>5.348063523947022E-2</v>
      </c>
      <c r="Z139" s="822">
        <f t="shared" si="107"/>
        <v>4.9140049140049137E-2</v>
      </c>
      <c r="AA139" s="822">
        <f t="shared" si="107"/>
        <v>4.8316643389890938E-2</v>
      </c>
      <c r="AB139" s="822">
        <f t="shared" si="107"/>
        <v>4.7078387522220308E-2</v>
      </c>
      <c r="AC139" s="822">
        <f t="shared" si="107"/>
        <v>5.0855845365626456E-2</v>
      </c>
      <c r="AD139" s="820">
        <f t="shared" si="93"/>
        <v>5.0855845365626456E-2</v>
      </c>
      <c r="AE139" s="820">
        <f t="shared" si="94"/>
        <v>5.0855845365626456E-2</v>
      </c>
      <c r="AF139" s="820">
        <f>AE139</f>
        <v>5.0855845365626456E-2</v>
      </c>
      <c r="AG139" s="820">
        <f>AF139</f>
        <v>5.0855845365626456E-2</v>
      </c>
      <c r="AH139" s="820">
        <f t="shared" ref="AH139:AJ139" si="108">AG139</f>
        <v>5.0855845365626456E-2</v>
      </c>
      <c r="AI139" s="820">
        <f t="shared" si="108"/>
        <v>5.0855845365626456E-2</v>
      </c>
      <c r="AJ139" s="820">
        <f t="shared" si="108"/>
        <v>5.0855845365626456E-2</v>
      </c>
      <c r="AK139" s="820">
        <f t="shared" si="97"/>
        <v>5.0855845365626456E-2</v>
      </c>
      <c r="AL139" s="820">
        <f t="shared" si="98"/>
        <v>5.0855845365626456E-2</v>
      </c>
      <c r="AM139" s="820">
        <f t="shared" si="99"/>
        <v>5.0855845365626456E-2</v>
      </c>
      <c r="AN139" s="820">
        <f t="shared" si="100"/>
        <v>5.0855845365626456E-2</v>
      </c>
    </row>
    <row r="143" spans="4:40" x14ac:dyDescent="0.35">
      <c r="D143" s="1407" t="s">
        <v>1698</v>
      </c>
      <c r="E143" s="1407"/>
      <c r="F143" s="1407"/>
      <c r="G143" s="1407"/>
      <c r="H143" s="1407"/>
      <c r="I143" s="1407"/>
      <c r="J143" s="1407"/>
      <c r="K143" s="1407"/>
      <c r="L143" s="1407"/>
      <c r="M143" s="1407"/>
      <c r="N143" s="1407"/>
      <c r="O143" s="1407"/>
      <c r="P143" s="1407"/>
      <c r="Q143" s="1407"/>
      <c r="R143" s="1407"/>
      <c r="S143" s="1407"/>
      <c r="T143" s="1407"/>
      <c r="U143" s="1407"/>
      <c r="V143" s="1407"/>
      <c r="W143" s="1407"/>
      <c r="X143" s="1407"/>
      <c r="Y143" s="1407"/>
      <c r="Z143" s="1407"/>
      <c r="AA143" s="1407"/>
      <c r="AB143" s="1407"/>
      <c r="AC143" s="1407"/>
    </row>
    <row r="144" spans="4:40" x14ac:dyDescent="0.35">
      <c r="D144" s="763" t="s">
        <v>1691</v>
      </c>
      <c r="E144" s="741"/>
      <c r="F144" s="284"/>
      <c r="G144" s="284"/>
      <c r="H144" s="284"/>
      <c r="I144" s="284"/>
      <c r="J144" s="284"/>
      <c r="K144" s="284"/>
      <c r="L144" s="284"/>
      <c r="M144" s="284"/>
      <c r="N144" s="284"/>
      <c r="O144" s="284"/>
      <c r="P144" s="284"/>
      <c r="Q144" s="284"/>
      <c r="R144" s="284"/>
      <c r="S144" s="791"/>
      <c r="T144" s="284"/>
      <c r="U144" s="292"/>
      <c r="V144" s="292"/>
      <c r="W144" s="292"/>
      <c r="X144" s="292"/>
      <c r="Y144" s="292"/>
      <c r="Z144" s="292"/>
      <c r="AA144" s="292"/>
      <c r="AB144" s="292"/>
      <c r="AC144" s="224"/>
    </row>
    <row r="145" spans="4:29" x14ac:dyDescent="0.35">
      <c r="D145" s="899" t="s">
        <v>509</v>
      </c>
      <c r="E145" s="900"/>
      <c r="F145" s="901"/>
      <c r="G145" s="901">
        <f>(G127/F127)^4-1</f>
        <v>2.7913001349364253E-2</v>
      </c>
      <c r="H145" s="901">
        <f t="shared" ref="H145:S145" si="109">(H127/G127)^4-1</f>
        <v>4.7056786044947341E-2</v>
      </c>
      <c r="I145" s="901">
        <f t="shared" si="109"/>
        <v>3.9308941340777448E-2</v>
      </c>
      <c r="J145" s="901">
        <f t="shared" si="109"/>
        <v>-0.20767330318048161</v>
      </c>
      <c r="K145" s="901">
        <f t="shared" si="109"/>
        <v>0.22160650997768916</v>
      </c>
      <c r="L145" s="901">
        <f t="shared" si="109"/>
        <v>0.12774612606997193</v>
      </c>
      <c r="M145" s="901">
        <f t="shared" si="109"/>
        <v>4.7000819432919894E-2</v>
      </c>
      <c r="N145" s="901">
        <f t="shared" si="109"/>
        <v>0.15575354729693691</v>
      </c>
      <c r="O145" s="901">
        <f t="shared" si="109"/>
        <v>0.10114329593307891</v>
      </c>
      <c r="P145" s="901">
        <f t="shared" si="109"/>
        <v>9.5894303203679421E-2</v>
      </c>
      <c r="Q145" s="901">
        <f t="shared" si="109"/>
        <v>4.2812972925388104E-2</v>
      </c>
      <c r="R145" s="901">
        <f t="shared" si="109"/>
        <v>6.1818398365929728E-2</v>
      </c>
      <c r="S145" s="901">
        <f t="shared" si="109"/>
        <v>0.10779959808936046</v>
      </c>
      <c r="T145" s="902"/>
      <c r="U145" s="326"/>
      <c r="V145" s="326"/>
      <c r="W145" s="326"/>
      <c r="X145" s="326"/>
      <c r="Y145" s="326"/>
      <c r="Z145" s="326"/>
      <c r="AA145" s="326"/>
      <c r="AB145" s="326"/>
      <c r="AC145" s="435"/>
    </row>
    <row r="146" spans="4:29" x14ac:dyDescent="0.35">
      <c r="D146" s="903" t="s">
        <v>783</v>
      </c>
      <c r="E146" s="904"/>
      <c r="F146" s="901"/>
      <c r="G146" s="901">
        <f t="shared" ref="G146:S146" si="110">(G128/F128)^4-1</f>
        <v>2.4344066214849969E-2</v>
      </c>
      <c r="H146" s="901">
        <f t="shared" si="110"/>
        <v>6.4808926543423739E-2</v>
      </c>
      <c r="I146" s="901">
        <f t="shared" si="110"/>
        <v>6.3731772577288348E-2</v>
      </c>
      <c r="J146" s="901">
        <f t="shared" si="110"/>
        <v>-0.23736727268240676</v>
      </c>
      <c r="K146" s="901">
        <f t="shared" si="110"/>
        <v>0.20844376621817839</v>
      </c>
      <c r="L146" s="901">
        <f t="shared" si="110"/>
        <v>0.16511367309277247</v>
      </c>
      <c r="M146" s="901">
        <f t="shared" si="110"/>
        <v>3.314802533242589E-2</v>
      </c>
      <c r="N146" s="901">
        <f t="shared" si="110"/>
        <v>0.12374465481168762</v>
      </c>
      <c r="O146" s="901">
        <f t="shared" si="110"/>
        <v>0.11474111578039969</v>
      </c>
      <c r="P146" s="901">
        <f t="shared" si="110"/>
        <v>0.12355331155960547</v>
      </c>
      <c r="Q146" s="901">
        <f t="shared" si="110"/>
        <v>5.2121400356726078E-2</v>
      </c>
      <c r="R146" s="901">
        <f t="shared" si="110"/>
        <v>3.8378170832219727E-2</v>
      </c>
      <c r="S146" s="901">
        <f t="shared" si="110"/>
        <v>0.10697569974210452</v>
      </c>
      <c r="T146" s="902"/>
      <c r="U146" s="326"/>
      <c r="V146" s="326"/>
      <c r="W146" s="326"/>
      <c r="X146" s="326"/>
      <c r="Y146" s="326"/>
      <c r="Z146" s="326"/>
      <c r="AA146" s="326"/>
      <c r="AB146" s="326"/>
      <c r="AC146" s="435"/>
    </row>
    <row r="147" spans="4:29" x14ac:dyDescent="0.35">
      <c r="D147" s="903" t="s">
        <v>510</v>
      </c>
      <c r="E147" s="904"/>
      <c r="F147" s="901"/>
      <c r="G147" s="901">
        <f t="shared" ref="G147:S147" si="111">(G129/F129)^4-1</f>
        <v>9.5170520378034862E-2</v>
      </c>
      <c r="H147" s="901">
        <f t="shared" si="111"/>
        <v>3.0386715102811657E-2</v>
      </c>
      <c r="I147" s="901">
        <f t="shared" si="111"/>
        <v>-1.2576877927581664E-2</v>
      </c>
      <c r="J147" s="901">
        <f t="shared" si="111"/>
        <v>-0.33559918291781621</v>
      </c>
      <c r="K147" s="901">
        <f t="shared" si="111"/>
        <v>1.0567645594940451</v>
      </c>
      <c r="L147" s="901">
        <f t="shared" si="111"/>
        <v>-8.5516467937984397E-2</v>
      </c>
      <c r="M147" s="901">
        <f t="shared" si="111"/>
        <v>7.2385177080469099E-2</v>
      </c>
      <c r="N147" s="901">
        <f t="shared" si="111"/>
        <v>0.39706645948874297</v>
      </c>
      <c r="O147" s="901">
        <f t="shared" si="111"/>
        <v>4.7644934993231525E-2</v>
      </c>
      <c r="P147" s="901">
        <f t="shared" si="111"/>
        <v>-3.4465830968520295E-2</v>
      </c>
      <c r="Q147" s="901">
        <f t="shared" si="111"/>
        <v>-3.7288431797324884E-2</v>
      </c>
      <c r="R147" s="901">
        <f t="shared" si="111"/>
        <v>3.7162148806803685E-2</v>
      </c>
      <c r="S147" s="901">
        <f t="shared" si="111"/>
        <v>0.10136440863642315</v>
      </c>
      <c r="T147" s="902"/>
      <c r="U147" s="326"/>
      <c r="V147" s="326"/>
      <c r="W147" s="326"/>
      <c r="X147" s="326"/>
      <c r="Y147" s="326"/>
      <c r="Z147" s="326"/>
      <c r="AA147" s="326"/>
      <c r="AB147" s="326"/>
      <c r="AC147" s="435"/>
    </row>
    <row r="148" spans="4:29" x14ac:dyDescent="0.35">
      <c r="D148" s="903" t="s">
        <v>511</v>
      </c>
      <c r="E148" s="904"/>
      <c r="F148" s="901"/>
      <c r="G148" s="901">
        <f t="shared" ref="G148:S148" si="112">(G130/F130)^4-1</f>
        <v>4.4060751620176752E-2</v>
      </c>
      <c r="H148" s="901">
        <f t="shared" si="112"/>
        <v>9.6622128532301677E-2</v>
      </c>
      <c r="I148" s="901">
        <f t="shared" si="112"/>
        <v>0.13675802614067245</v>
      </c>
      <c r="J148" s="901">
        <f t="shared" si="112"/>
        <v>1.0461745960318236E-2</v>
      </c>
      <c r="K148" s="901">
        <f t="shared" si="112"/>
        <v>7.5343951398924913E-2</v>
      </c>
      <c r="L148" s="901">
        <f t="shared" si="112"/>
        <v>1.5126690012599919E-2</v>
      </c>
      <c r="M148" s="901">
        <f t="shared" si="112"/>
        <v>-9.5986507456689019E-3</v>
      </c>
      <c r="N148" s="901">
        <f t="shared" si="112"/>
        <v>8.8639640354544413E-2</v>
      </c>
      <c r="O148" s="901">
        <f t="shared" si="112"/>
        <v>0.10698362579219722</v>
      </c>
      <c r="P148" s="901">
        <f t="shared" si="112"/>
        <v>0.10364747893427251</v>
      </c>
      <c r="Q148" s="901">
        <f t="shared" si="112"/>
        <v>6.9691205228084696E-2</v>
      </c>
      <c r="R148" s="901">
        <f t="shared" si="112"/>
        <v>0.23371913760147933</v>
      </c>
      <c r="S148" s="901">
        <f t="shared" si="112"/>
        <v>0.15406366806084937</v>
      </c>
      <c r="T148" s="902"/>
      <c r="U148" s="326"/>
      <c r="V148" s="326"/>
      <c r="W148" s="326"/>
      <c r="X148" s="326"/>
      <c r="Y148" s="326"/>
      <c r="Z148" s="326"/>
      <c r="AA148" s="326"/>
      <c r="AB148" s="326"/>
      <c r="AC148" s="435"/>
    </row>
    <row r="149" spans="4:29" x14ac:dyDescent="0.35">
      <c r="D149" s="903" t="s">
        <v>512</v>
      </c>
      <c r="E149" s="904"/>
      <c r="F149" s="901"/>
      <c r="G149" s="901">
        <f t="shared" ref="G149:S149" si="113">(G131/F131)^4-1</f>
        <v>1.6217856588427448E-3</v>
      </c>
      <c r="H149" s="901">
        <f t="shared" si="113"/>
        <v>-9.8195076585786412E-3</v>
      </c>
      <c r="I149" s="901">
        <f t="shared" si="113"/>
        <v>-3.0767948453107596E-2</v>
      </c>
      <c r="J149" s="901">
        <f t="shared" si="113"/>
        <v>-7.7313403452727636E-2</v>
      </c>
      <c r="K149" s="901">
        <f t="shared" si="113"/>
        <v>-1.5359581864805461E-2</v>
      </c>
      <c r="L149" s="901">
        <f t="shared" si="113"/>
        <v>0.17439776752664971</v>
      </c>
      <c r="M149" s="901">
        <f t="shared" si="113"/>
        <v>9.4006543160045863E-2</v>
      </c>
      <c r="N149" s="901">
        <f t="shared" si="113"/>
        <v>0.15250723378892039</v>
      </c>
      <c r="O149" s="901">
        <f t="shared" si="113"/>
        <v>8.8004811201423561E-2</v>
      </c>
      <c r="P149" s="901">
        <f t="shared" si="113"/>
        <v>8.4265283746917774E-2</v>
      </c>
      <c r="Q149" s="901">
        <f t="shared" si="113"/>
        <v>5.2407830182700454E-2</v>
      </c>
      <c r="R149" s="901">
        <f t="shared" si="113"/>
        <v>0.11413452453651107</v>
      </c>
      <c r="S149" s="901">
        <f t="shared" si="113"/>
        <v>0.10252743449255797</v>
      </c>
      <c r="T149" s="902"/>
      <c r="U149" s="326"/>
      <c r="V149" s="326"/>
      <c r="W149" s="326"/>
      <c r="X149" s="326"/>
      <c r="Y149" s="326"/>
      <c r="Z149" s="326"/>
      <c r="AA149" s="326"/>
      <c r="AB149" s="326"/>
      <c r="AC149" s="435"/>
    </row>
    <row r="150" spans="4:29" x14ac:dyDescent="0.35">
      <c r="D150" s="899" t="s">
        <v>499</v>
      </c>
      <c r="E150" s="900"/>
      <c r="F150" s="901"/>
      <c r="G150" s="901">
        <f t="shared" ref="G150:S150" si="114">(G132/F132)^4-1</f>
        <v>2.4344066214849969E-2</v>
      </c>
      <c r="H150" s="901">
        <f t="shared" si="114"/>
        <v>6.4808926543423739E-2</v>
      </c>
      <c r="I150" s="901">
        <f t="shared" si="114"/>
        <v>6.3731772577288348E-2</v>
      </c>
      <c r="J150" s="901">
        <f t="shared" si="114"/>
        <v>-0.23736727268240676</v>
      </c>
      <c r="K150" s="901">
        <f t="shared" si="114"/>
        <v>0.20844376621817839</v>
      </c>
      <c r="L150" s="901">
        <f t="shared" si="114"/>
        <v>0.16511367309277247</v>
      </c>
      <c r="M150" s="901">
        <f t="shared" si="114"/>
        <v>3.314802533242589E-2</v>
      </c>
      <c r="N150" s="901">
        <f t="shared" si="114"/>
        <v>0.12374465481168762</v>
      </c>
      <c r="O150" s="901">
        <f t="shared" si="114"/>
        <v>0.11474111578039969</v>
      </c>
      <c r="P150" s="901">
        <f t="shared" si="114"/>
        <v>0.12355331155960547</v>
      </c>
      <c r="Q150" s="901">
        <f t="shared" si="114"/>
        <v>5.2121400356726078E-2</v>
      </c>
      <c r="R150" s="901">
        <f t="shared" si="114"/>
        <v>3.8378170832219727E-2</v>
      </c>
      <c r="S150" s="901">
        <f t="shared" si="114"/>
        <v>0.10697569974210452</v>
      </c>
      <c r="T150" s="902"/>
      <c r="U150" s="326"/>
      <c r="V150" s="326"/>
      <c r="W150" s="326"/>
      <c r="X150" s="326"/>
      <c r="Y150" s="326"/>
      <c r="Z150" s="326"/>
      <c r="AA150" s="326"/>
      <c r="AB150" s="326"/>
      <c r="AC150" s="435"/>
    </row>
    <row r="151" spans="4:29" x14ac:dyDescent="0.35">
      <c r="D151" s="899" t="s">
        <v>500</v>
      </c>
      <c r="E151" s="904"/>
      <c r="F151" s="901"/>
      <c r="G151" s="901">
        <f t="shared" ref="G151:S151" si="115">(G133/F133)^4-1</f>
        <v>5.6225503215933115E-2</v>
      </c>
      <c r="H151" s="901">
        <f t="shared" si="115"/>
        <v>4.2649929393125507E-2</v>
      </c>
      <c r="I151" s="901">
        <f t="shared" si="115"/>
        <v>-5.4570436543737832E-2</v>
      </c>
      <c r="J151" s="901">
        <f t="shared" si="115"/>
        <v>-0.31755930379794983</v>
      </c>
      <c r="K151" s="901">
        <f t="shared" si="115"/>
        <v>0.45798374797974395</v>
      </c>
      <c r="L151" s="901">
        <f t="shared" si="115"/>
        <v>7.8081900447835251E-2</v>
      </c>
      <c r="M151" s="901">
        <f t="shared" si="115"/>
        <v>0.14462647249539784</v>
      </c>
      <c r="N151" s="901">
        <f t="shared" si="115"/>
        <v>0.21366534100957191</v>
      </c>
      <c r="O151" s="901">
        <f t="shared" si="115"/>
        <v>8.9678764816876422E-2</v>
      </c>
      <c r="P151" s="901">
        <f t="shared" si="115"/>
        <v>0.1152028170216266</v>
      </c>
      <c r="Q151" s="901">
        <f t="shared" si="115"/>
        <v>8.8168054860614076E-2</v>
      </c>
      <c r="R151" s="901">
        <f t="shared" si="115"/>
        <v>0.10364298156306018</v>
      </c>
      <c r="S151" s="901">
        <f t="shared" si="115"/>
        <v>6.3347260248833859E-2</v>
      </c>
      <c r="T151" s="902"/>
      <c r="U151" s="326"/>
      <c r="V151" s="326"/>
      <c r="W151" s="326"/>
      <c r="X151" s="326"/>
      <c r="Y151" s="326"/>
      <c r="Z151" s="326"/>
      <c r="AA151" s="326"/>
      <c r="AB151" s="326"/>
      <c r="AC151" s="435"/>
    </row>
    <row r="152" spans="4:29" x14ac:dyDescent="0.35">
      <c r="D152" s="905" t="s">
        <v>513</v>
      </c>
      <c r="E152" s="760"/>
      <c r="F152" s="761"/>
      <c r="G152" s="761">
        <f t="shared" ref="G152:S152" si="116">(G134/F134)^4-1</f>
        <v>0.13564189817892713</v>
      </c>
      <c r="H152" s="761">
        <f t="shared" si="116"/>
        <v>7.3269037673770798E-2</v>
      </c>
      <c r="I152" s="761">
        <f t="shared" si="116"/>
        <v>-0.41408585427253519</v>
      </c>
      <c r="J152" s="761">
        <f t="shared" si="116"/>
        <v>-0.1433526334649271</v>
      </c>
      <c r="K152" s="761">
        <f t="shared" si="116"/>
        <v>2.6085807680777386</v>
      </c>
      <c r="L152" s="761">
        <f t="shared" si="116"/>
        <v>-0.33127457784416303</v>
      </c>
      <c r="M152" s="761">
        <f t="shared" si="116"/>
        <v>0.81349321781472628</v>
      </c>
      <c r="N152" s="761">
        <f t="shared" si="116"/>
        <v>0.64965427523107366</v>
      </c>
      <c r="O152" s="761">
        <f t="shared" si="116"/>
        <v>-2.3525007110185348E-2</v>
      </c>
      <c r="P152" s="761">
        <f t="shared" si="116"/>
        <v>6.4214621581073494E-3</v>
      </c>
      <c r="Q152" s="761">
        <f t="shared" si="116"/>
        <v>-1.8906537249130384E-2</v>
      </c>
      <c r="R152" s="761">
        <f t="shared" si="116"/>
        <v>0.2176464803225644</v>
      </c>
      <c r="S152" s="761">
        <f t="shared" si="116"/>
        <v>0.10662674433130115</v>
      </c>
      <c r="T152" s="762"/>
      <c r="U152" s="269"/>
      <c r="V152" s="269"/>
      <c r="W152" s="269"/>
      <c r="X152" s="269"/>
      <c r="Y152" s="269"/>
      <c r="Z152" s="269"/>
      <c r="AA152" s="269"/>
      <c r="AB152" s="269"/>
      <c r="AC152" s="298"/>
    </row>
    <row r="155" spans="4:29" ht="14.9" customHeight="1" x14ac:dyDescent="0.35"/>
  </sheetData>
  <mergeCells count="44">
    <mergeCell ref="D33:F33"/>
    <mergeCell ref="F45:V45"/>
    <mergeCell ref="D1:AC1"/>
    <mergeCell ref="D2:AC3"/>
    <mergeCell ref="AC6:AF6"/>
    <mergeCell ref="F6:H6"/>
    <mergeCell ref="I6:L6"/>
    <mergeCell ref="Q6:T6"/>
    <mergeCell ref="D5:E7"/>
    <mergeCell ref="M6:P6"/>
    <mergeCell ref="F5:AB5"/>
    <mergeCell ref="AC5:AN5"/>
    <mergeCell ref="AK6:AN6"/>
    <mergeCell ref="U6:X6"/>
    <mergeCell ref="AG6:AJ6"/>
    <mergeCell ref="W45:AH45"/>
    <mergeCell ref="D143:AC143"/>
    <mergeCell ref="D119:E119"/>
    <mergeCell ref="D117:E118"/>
    <mergeCell ref="Y46:AB46"/>
    <mergeCell ref="D107:E108"/>
    <mergeCell ref="F107:H107"/>
    <mergeCell ref="I107:L107"/>
    <mergeCell ref="M117:P117"/>
    <mergeCell ref="F117:H117"/>
    <mergeCell ref="I117:L117"/>
    <mergeCell ref="Q117:T117"/>
    <mergeCell ref="AC107:AF107"/>
    <mergeCell ref="AC117:AF117"/>
    <mergeCell ref="Y117:AB117"/>
    <mergeCell ref="O74:V74"/>
    <mergeCell ref="P75:S75"/>
    <mergeCell ref="F46:H46"/>
    <mergeCell ref="M46:P46"/>
    <mergeCell ref="Q46:T46"/>
    <mergeCell ref="I46:L46"/>
    <mergeCell ref="AK117:AN117"/>
    <mergeCell ref="AK107:AN107"/>
    <mergeCell ref="AG46:AJ46"/>
    <mergeCell ref="Q107:T107"/>
    <mergeCell ref="M107:P107"/>
    <mergeCell ref="AC46:AF46"/>
    <mergeCell ref="AG107:AJ107"/>
    <mergeCell ref="AG117:AJ117"/>
  </mergeCells>
  <pageMargins left="0.7" right="0.7" top="0.75" bottom="0.75" header="0.3" footer="0.3"/>
  <pageSetup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T87"/>
  <sheetViews>
    <sheetView zoomScaleNormal="100" workbookViewId="0">
      <pane xSplit="3" ySplit="4" topLeftCell="U5" activePane="bottomRight" state="frozen"/>
      <selection pane="topRight" activeCell="D1" sqref="D1"/>
      <selection pane="bottomLeft" activeCell="A5" sqref="A5"/>
      <selection pane="bottomRight" activeCell="AD12" sqref="AD12"/>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253" t="s">
        <v>1699</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2:40" x14ac:dyDescent="0.35">
      <c r="B2" s="1363" t="s">
        <v>1954</v>
      </c>
      <c r="C2" s="1363"/>
      <c r="D2" s="1363"/>
      <c r="E2" s="1363"/>
      <c r="F2" s="1363"/>
      <c r="G2" s="1363"/>
      <c r="H2" s="1363"/>
      <c r="I2" s="1363"/>
      <c r="J2" s="1363"/>
      <c r="K2" s="1363"/>
      <c r="L2" s="1363"/>
      <c r="M2" s="1363"/>
      <c r="N2" s="1363"/>
      <c r="O2" s="1363"/>
      <c r="P2" s="1363"/>
      <c r="Q2" s="1363"/>
      <c r="R2" s="1363"/>
      <c r="S2" s="1363"/>
      <c r="T2" s="1363"/>
      <c r="U2" s="1363"/>
      <c r="V2" s="1363"/>
      <c r="W2" s="1363"/>
      <c r="X2" s="1363"/>
      <c r="Y2" s="1363"/>
      <c r="Z2" s="1363"/>
      <c r="AA2" s="1363"/>
      <c r="AB2" s="1363"/>
      <c r="AC2" s="1363"/>
    </row>
    <row r="3" spans="2:40" x14ac:dyDescent="0.35">
      <c r="B3" s="1363"/>
      <c r="C3" s="1363"/>
      <c r="D3" s="1363"/>
      <c r="E3" s="1363"/>
      <c r="F3" s="1363"/>
      <c r="G3" s="1363"/>
      <c r="H3" s="1363"/>
      <c r="I3" s="1363"/>
      <c r="J3" s="1363"/>
      <c r="K3" s="1363"/>
      <c r="L3" s="1363"/>
      <c r="M3" s="1363"/>
      <c r="N3" s="1363"/>
      <c r="O3" s="1363"/>
      <c r="P3" s="1363"/>
      <c r="Q3" s="1363"/>
      <c r="R3" s="1363"/>
      <c r="S3" s="1363"/>
      <c r="T3" s="1363"/>
      <c r="U3" s="1363"/>
      <c r="V3" s="1363"/>
      <c r="W3" s="1363"/>
      <c r="X3" s="1363"/>
      <c r="Y3" s="1363"/>
      <c r="Z3" s="1363"/>
      <c r="AA3" s="1363"/>
      <c r="AB3" s="1363"/>
      <c r="AC3" s="1363"/>
    </row>
    <row r="4" spans="2:40" x14ac:dyDescent="0.35">
      <c r="B4" s="1363"/>
      <c r="C4" s="1363"/>
      <c r="D4" s="1363"/>
      <c r="E4" s="1363"/>
      <c r="F4" s="1363"/>
      <c r="G4" s="1363"/>
      <c r="H4" s="1363"/>
      <c r="I4" s="1363"/>
      <c r="J4" s="1363"/>
      <c r="K4" s="1363"/>
      <c r="L4" s="1363"/>
      <c r="M4" s="1363"/>
      <c r="N4" s="1363"/>
      <c r="O4" s="1363"/>
      <c r="P4" s="1363"/>
      <c r="Q4" s="1363"/>
      <c r="R4" s="1363"/>
      <c r="S4" s="1363"/>
      <c r="T4" s="1363"/>
      <c r="U4" s="1363"/>
      <c r="V4" s="1363"/>
      <c r="W4" s="1363"/>
      <c r="X4" s="1363"/>
      <c r="Y4" s="1363"/>
      <c r="Z4" s="1363"/>
      <c r="AA4" s="1363"/>
      <c r="AB4" s="1363"/>
      <c r="AC4" s="1363"/>
    </row>
    <row r="5" spans="2:40" x14ac:dyDescent="0.35">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row>
    <row r="6" spans="2:40" x14ac:dyDescent="0.35">
      <c r="B6" s="56"/>
      <c r="C6" s="937"/>
      <c r="D6" s="918"/>
      <c r="E6" s="918"/>
      <c r="F6" s="918"/>
      <c r="G6" s="918"/>
      <c r="H6" s="918"/>
      <c r="I6" s="918"/>
      <c r="J6" s="918"/>
      <c r="K6" s="918"/>
      <c r="L6" s="918"/>
      <c r="M6" s="918"/>
      <c r="N6" s="918"/>
      <c r="O6" s="918"/>
      <c r="P6" s="918"/>
      <c r="Q6" s="918"/>
      <c r="R6" s="918"/>
      <c r="S6" s="918"/>
      <c r="T6" s="918"/>
      <c r="U6" s="918"/>
      <c r="V6" s="918"/>
      <c r="W6" s="918"/>
      <c r="X6" s="918"/>
      <c r="Y6" s="918"/>
      <c r="Z6" s="918"/>
      <c r="AA6" s="918"/>
      <c r="AB6" s="918"/>
      <c r="AC6" s="918"/>
      <c r="AD6" s="918"/>
      <c r="AE6" s="918"/>
      <c r="AF6" s="918"/>
    </row>
    <row r="7" spans="2:40" ht="14.5" customHeight="1" x14ac:dyDescent="0.35">
      <c r="B7" s="1419" t="s">
        <v>1724</v>
      </c>
      <c r="C7" s="1419"/>
      <c r="D7" s="1420"/>
      <c r="E7" s="1420"/>
      <c r="F7" s="1420"/>
      <c r="G7" s="251"/>
      <c r="H7" s="251"/>
      <c r="I7" s="251"/>
      <c r="J7" s="251"/>
      <c r="K7" s="251"/>
      <c r="L7" s="251"/>
      <c r="M7" s="251"/>
      <c r="N7" s="251"/>
      <c r="O7" s="251"/>
      <c r="P7" s="251"/>
      <c r="Q7" s="251"/>
      <c r="R7" s="251"/>
      <c r="S7" s="251"/>
      <c r="T7" s="251"/>
      <c r="U7" s="251"/>
      <c r="V7" s="251"/>
      <c r="W7" s="251"/>
      <c r="X7" s="251"/>
      <c r="Y7" s="251"/>
      <c r="Z7" s="251"/>
      <c r="AA7" s="251"/>
      <c r="AB7" s="251"/>
      <c r="AC7" s="251"/>
    </row>
    <row r="8" spans="2:40" x14ac:dyDescent="0.35">
      <c r="B8" s="1256" t="s">
        <v>1713</v>
      </c>
      <c r="C8" s="1257"/>
      <c r="D8" s="1276" t="s">
        <v>279</v>
      </c>
      <c r="E8" s="1277"/>
      <c r="F8" s="1277"/>
      <c r="G8" s="1277"/>
      <c r="H8" s="1277"/>
      <c r="I8" s="1277"/>
      <c r="J8" s="1277"/>
      <c r="K8" s="1277"/>
      <c r="L8" s="1277"/>
      <c r="M8" s="1277"/>
      <c r="N8" s="1277"/>
      <c r="O8" s="1277"/>
      <c r="P8" s="1277"/>
      <c r="Q8" s="1277"/>
      <c r="R8" s="1277"/>
      <c r="S8" s="1277"/>
      <c r="T8" s="1277"/>
      <c r="U8" s="1277"/>
      <c r="V8" s="1278"/>
      <c r="W8" s="912"/>
      <c r="X8" s="907"/>
      <c r="Y8" s="907"/>
      <c r="Z8" s="907"/>
      <c r="AA8" s="907"/>
      <c r="AB8" s="1261" t="s">
        <v>1739</v>
      </c>
      <c r="AC8" s="1262"/>
      <c r="AD8" s="1262"/>
      <c r="AE8" s="1262"/>
      <c r="AF8" s="1262"/>
      <c r="AG8" s="1262"/>
      <c r="AH8" s="1262"/>
      <c r="AI8" s="1262"/>
      <c r="AJ8" s="1262"/>
      <c r="AK8" s="1262"/>
      <c r="AL8" s="1262"/>
      <c r="AM8" s="1262"/>
      <c r="AN8" s="1263"/>
    </row>
    <row r="9" spans="2:40" x14ac:dyDescent="0.35">
      <c r="B9" s="1258"/>
      <c r="C9" s="1350"/>
      <c r="D9" s="909">
        <v>2018</v>
      </c>
      <c r="E9" s="1264">
        <v>2019</v>
      </c>
      <c r="F9" s="1265"/>
      <c r="G9" s="1265"/>
      <c r="H9" s="1266"/>
      <c r="I9" s="1264">
        <v>2020</v>
      </c>
      <c r="J9" s="1265"/>
      <c r="K9" s="1265"/>
      <c r="L9" s="1266"/>
      <c r="M9" s="1264">
        <v>2021</v>
      </c>
      <c r="N9" s="1265"/>
      <c r="O9" s="1265"/>
      <c r="P9" s="1266"/>
      <c r="Q9" s="1360">
        <v>2022</v>
      </c>
      <c r="R9" s="1361"/>
      <c r="S9" s="299"/>
      <c r="T9" s="306"/>
      <c r="U9" s="453"/>
      <c r="V9" s="299">
        <v>2023</v>
      </c>
      <c r="W9" s="299"/>
      <c r="X9" s="306"/>
      <c r="Y9" s="453"/>
      <c r="Z9" s="299">
        <v>2024</v>
      </c>
      <c r="AA9" s="299"/>
      <c r="AB9" s="306"/>
      <c r="AC9" s="1372">
        <v>2025</v>
      </c>
      <c r="AD9" s="1373"/>
      <c r="AE9" s="1373"/>
      <c r="AF9" s="1406"/>
      <c r="AG9" s="1373">
        <v>2026</v>
      </c>
      <c r="AH9" s="1373"/>
      <c r="AI9" s="1373"/>
      <c r="AJ9" s="1406"/>
      <c r="AK9" s="1270">
        <v>2027</v>
      </c>
      <c r="AL9" s="1271"/>
      <c r="AM9" s="1271"/>
      <c r="AN9" s="1272"/>
    </row>
    <row r="10" spans="2:40" x14ac:dyDescent="0.35">
      <c r="B10" s="1274"/>
      <c r="C10" s="1351"/>
      <c r="D10" s="910" t="s">
        <v>281</v>
      </c>
      <c r="E10" s="282" t="s">
        <v>282</v>
      </c>
      <c r="F10" s="283" t="s">
        <v>283</v>
      </c>
      <c r="G10" s="283" t="s">
        <v>238</v>
      </c>
      <c r="H10" s="281" t="s">
        <v>281</v>
      </c>
      <c r="I10" s="282" t="s">
        <v>282</v>
      </c>
      <c r="J10" s="283" t="s">
        <v>283</v>
      </c>
      <c r="K10" s="283" t="s">
        <v>238</v>
      </c>
      <c r="L10" s="281" t="s">
        <v>281</v>
      </c>
      <c r="M10" s="282" t="s">
        <v>282</v>
      </c>
      <c r="N10" s="283" t="s">
        <v>283</v>
      </c>
      <c r="O10" s="283" t="s">
        <v>238</v>
      </c>
      <c r="P10" s="281" t="s">
        <v>281</v>
      </c>
      <c r="Q10" s="282" t="s">
        <v>282</v>
      </c>
      <c r="R10" s="283" t="s">
        <v>283</v>
      </c>
      <c r="S10" s="283" t="s">
        <v>238</v>
      </c>
      <c r="T10" s="281" t="s">
        <v>281</v>
      </c>
      <c r="U10" s="282" t="s">
        <v>282</v>
      </c>
      <c r="V10" s="283" t="s">
        <v>283</v>
      </c>
      <c r="W10" s="283" t="s">
        <v>238</v>
      </c>
      <c r="X10" s="281" t="s">
        <v>281</v>
      </c>
      <c r="Y10" s="282" t="s">
        <v>282</v>
      </c>
      <c r="Z10" s="288" t="s">
        <v>283</v>
      </c>
      <c r="AA10" s="283" t="s">
        <v>238</v>
      </c>
      <c r="AB10" s="281" t="s">
        <v>281</v>
      </c>
      <c r="AC10" s="296" t="s">
        <v>282</v>
      </c>
      <c r="AD10" s="269" t="s">
        <v>283</v>
      </c>
      <c r="AE10" s="269" t="s">
        <v>238</v>
      </c>
      <c r="AF10" s="435" t="s">
        <v>281</v>
      </c>
      <c r="AG10" s="269" t="s">
        <v>282</v>
      </c>
      <c r="AH10" s="267" t="s">
        <v>283</v>
      </c>
      <c r="AI10" s="269" t="s">
        <v>238</v>
      </c>
      <c r="AJ10" s="298" t="s">
        <v>281</v>
      </c>
      <c r="AK10" s="296" t="s">
        <v>282</v>
      </c>
      <c r="AL10" s="267" t="s">
        <v>283</v>
      </c>
      <c r="AM10" s="269" t="s">
        <v>238</v>
      </c>
      <c r="AN10" s="298" t="s">
        <v>281</v>
      </c>
    </row>
    <row r="11" spans="2:40" x14ac:dyDescent="0.35">
      <c r="B11" s="1424" t="s">
        <v>1723</v>
      </c>
      <c r="C11" s="1425"/>
      <c r="D11" s="1425"/>
      <c r="E11" s="1425"/>
      <c r="F11" s="1425"/>
      <c r="G11" s="1425"/>
      <c r="H11" s="1425"/>
      <c r="I11" s="1425"/>
      <c r="J11" s="1425"/>
      <c r="K11" s="1425"/>
      <c r="L11" s="1425"/>
      <c r="M11" s="1425"/>
      <c r="N11" s="1425"/>
      <c r="O11" s="1425"/>
      <c r="P11" s="1425"/>
      <c r="Q11" s="1425"/>
      <c r="R11" s="1425"/>
      <c r="S11" s="1425"/>
      <c r="T11" s="1425"/>
      <c r="U11" s="1425"/>
      <c r="V11" s="1425"/>
      <c r="W11" s="1425"/>
      <c r="X11" s="1425"/>
      <c r="Y11" s="1425"/>
      <c r="Z11" s="1425"/>
      <c r="AA11" s="1425"/>
      <c r="AB11" s="1425"/>
      <c r="AC11" s="1425"/>
      <c r="AD11" s="1425"/>
      <c r="AE11" s="1425"/>
      <c r="AF11" s="1425"/>
      <c r="AG11" s="1425"/>
      <c r="AH11" s="1425"/>
      <c r="AI11" s="1425"/>
      <c r="AJ11" s="1425"/>
      <c r="AK11" s="1425"/>
      <c r="AL11" s="1425"/>
      <c r="AM11" s="1425"/>
      <c r="AN11" s="1426"/>
    </row>
    <row r="12" spans="2:40" x14ac:dyDescent="0.35">
      <c r="B12" s="947" t="s">
        <v>1702</v>
      </c>
      <c r="C12" s="948"/>
      <c r="D12" s="942">
        <f t="shared" ref="D12:T12" si="0">D45</f>
        <v>1.5264497223703488E-2</v>
      </c>
      <c r="E12" s="942">
        <f t="shared" si="0"/>
        <v>8.1697245486058723E-3</v>
      </c>
      <c r="F12" s="942">
        <f t="shared" si="0"/>
        <v>2.2550676192391039E-2</v>
      </c>
      <c r="G12" s="942">
        <f t="shared" si="0"/>
        <v>9.6649063963889503E-3</v>
      </c>
      <c r="H12" s="942">
        <f t="shared" si="0"/>
        <v>1.5834666967584843E-2</v>
      </c>
      <c r="I12" s="942">
        <f t="shared" si="0"/>
        <v>1.239349514115573E-2</v>
      </c>
      <c r="J12" s="942">
        <f t="shared" si="0"/>
        <v>-1.5843080973497181E-2</v>
      </c>
      <c r="K12" s="942">
        <f t="shared" si="0"/>
        <v>3.2862675445769929E-2</v>
      </c>
      <c r="L12" s="942">
        <f t="shared" si="0"/>
        <v>1.9524743592179927E-2</v>
      </c>
      <c r="M12" s="942">
        <f t="shared" si="0"/>
        <v>4.5919222990944863E-2</v>
      </c>
      <c r="N12" s="942">
        <f t="shared" si="0"/>
        <v>6.3763215063124212E-2</v>
      </c>
      <c r="O12" s="942">
        <f t="shared" si="0"/>
        <v>5.6353404292981857E-2</v>
      </c>
      <c r="P12" s="942">
        <f t="shared" si="0"/>
        <v>6.7661635913466744E-2</v>
      </c>
      <c r="Q12" s="942">
        <f t="shared" si="0"/>
        <v>7.7270298955965933E-2</v>
      </c>
      <c r="R12" s="942">
        <f t="shared" si="0"/>
        <v>7.554614845470442E-2</v>
      </c>
      <c r="S12" s="942">
        <f t="shared" si="0"/>
        <v>4.7220953130670873E-2</v>
      </c>
      <c r="T12" s="963">
        <f t="shared" si="0"/>
        <v>4.0176508092810925E-2</v>
      </c>
      <c r="U12" s="942">
        <f t="shared" ref="U12:AF12" si="1">U45+U13</f>
        <v>3.9428535960380762E-2</v>
      </c>
      <c r="V12" s="942">
        <f t="shared" si="1"/>
        <v>2.9211734875661532E-2</v>
      </c>
      <c r="W12" s="942">
        <f t="shared" si="1"/>
        <v>2.6927277215065937E-2</v>
      </c>
      <c r="X12" s="942">
        <f t="shared" si="1"/>
        <v>1.6533593023621451E-2</v>
      </c>
      <c r="Y12" s="942">
        <f t="shared" si="1"/>
        <v>3.4247515494288061E-2</v>
      </c>
      <c r="Z12" s="942">
        <f t="shared" si="1"/>
        <v>2.5312909540798456E-2</v>
      </c>
      <c r="AA12" s="942">
        <f t="shared" si="1"/>
        <v>1.5403536594506217E-2</v>
      </c>
      <c r="AB12" s="942">
        <f>AB45+AB13</f>
        <v>2.3839052457011789E-2</v>
      </c>
      <c r="AC12" s="942">
        <f t="shared" si="1"/>
        <v>3.6577985459982365E-2</v>
      </c>
      <c r="AD12" s="942">
        <f t="shared" si="1"/>
        <v>1.6983635680919155E-2</v>
      </c>
      <c r="AE12" s="942">
        <f t="shared" si="1"/>
        <v>2.3874932014508632E-2</v>
      </c>
      <c r="AF12" s="942">
        <f t="shared" si="1"/>
        <v>2.2011392938697361E-2</v>
      </c>
      <c r="AG12" s="918">
        <f>AG45+AG13</f>
        <v>2.1469131944638509E-2</v>
      </c>
      <c r="AH12" s="918">
        <f>AH45+AH13</f>
        <v>2.037795778240481E-2</v>
      </c>
      <c r="AI12" s="942">
        <f t="shared" ref="AI12" si="2">AI45+AI13</f>
        <v>2.031319568771961E-2</v>
      </c>
      <c r="AJ12" s="942">
        <f>AJ45+AJ13</f>
        <v>2.0411174157790368E-2</v>
      </c>
      <c r="AK12" s="918">
        <f t="shared" ref="AK12:AN12" si="3">AK45+AK13</f>
        <v>2.0278651758323107E-2</v>
      </c>
      <c r="AL12" s="918">
        <f t="shared" si="3"/>
        <v>2.0181831515000193E-2</v>
      </c>
      <c r="AM12" s="918">
        <f t="shared" si="3"/>
        <v>2.008748904793789E-2</v>
      </c>
      <c r="AN12" s="918">
        <f t="shared" si="3"/>
        <v>2.0063466029726529E-2</v>
      </c>
    </row>
    <row r="13" spans="2:40" x14ac:dyDescent="0.35">
      <c r="B13" s="952" t="s">
        <v>1734</v>
      </c>
      <c r="C13" s="949"/>
      <c r="D13" s="950"/>
      <c r="E13" s="951"/>
      <c r="F13" s="951"/>
      <c r="G13" s="951"/>
      <c r="H13" s="951"/>
      <c r="I13" s="951"/>
      <c r="J13" s="951"/>
      <c r="K13" s="951"/>
      <c r="L13" s="951"/>
      <c r="M13" s="951"/>
      <c r="N13" s="951"/>
      <c r="O13" s="951"/>
      <c r="P13" s="951"/>
      <c r="Q13" s="951"/>
      <c r="R13" s="951"/>
      <c r="S13" s="951"/>
      <c r="T13" s="951"/>
      <c r="U13" s="951"/>
      <c r="V13" s="951"/>
      <c r="W13" s="951"/>
      <c r="X13" s="951"/>
      <c r="Y13" s="951"/>
      <c r="Z13" s="951"/>
      <c r="AA13" s="951"/>
      <c r="AB13" s="951"/>
      <c r="AC13" s="951"/>
      <c r="AD13" s="951"/>
      <c r="AE13" s="951"/>
      <c r="AF13" s="951"/>
      <c r="AG13" s="918"/>
      <c r="AH13" s="918"/>
      <c r="AI13" s="951"/>
      <c r="AJ13" s="918"/>
    </row>
    <row r="14" spans="2:40" x14ac:dyDescent="0.35">
      <c r="B14" s="742" t="s">
        <v>1703</v>
      </c>
      <c r="C14" s="948"/>
      <c r="D14" s="918">
        <f t="shared" ref="D14:S14" si="4">D48</f>
        <v>2.9477765289275926E-2</v>
      </c>
      <c r="E14" s="918">
        <f t="shared" si="4"/>
        <v>3.7241332054374521E-2</v>
      </c>
      <c r="F14" s="918">
        <f t="shared" si="4"/>
        <v>-2.6356011696502479E-2</v>
      </c>
      <c r="G14" s="918">
        <f t="shared" si="4"/>
        <v>3.7347692764231333E-3</v>
      </c>
      <c r="H14" s="918">
        <f t="shared" si="4"/>
        <v>1.463826004028701E-2</v>
      </c>
      <c r="I14" s="918">
        <f t="shared" si="4"/>
        <v>1.2149501243322813E-2</v>
      </c>
      <c r="J14" s="918">
        <f t="shared" si="4"/>
        <v>2.5590697877679869E-3</v>
      </c>
      <c r="K14" s="918">
        <f t="shared" si="4"/>
        <v>2.2030538597398897E-2</v>
      </c>
      <c r="L14" s="918">
        <f t="shared" si="4"/>
        <v>3.0184246589695318E-2</v>
      </c>
      <c r="M14" s="918">
        <f t="shared" si="4"/>
        <v>3.1074822316861761E-2</v>
      </c>
      <c r="N14" s="918">
        <f t="shared" si="4"/>
        <v>4.3814411385844076E-2</v>
      </c>
      <c r="O14" s="918">
        <f t="shared" si="4"/>
        <v>4.8079114499886888E-2</v>
      </c>
      <c r="P14" s="918">
        <f t="shared" si="4"/>
        <v>5.0423609727379137E-2</v>
      </c>
      <c r="Q14" s="918">
        <f t="shared" si="4"/>
        <v>6.5677487260019429E-2</v>
      </c>
      <c r="R14" s="918">
        <f t="shared" si="4"/>
        <v>7.488961890096113E-2</v>
      </c>
      <c r="S14" s="918">
        <f t="shared" si="4"/>
        <v>5.3316340788000627E-2</v>
      </c>
      <c r="T14" s="918">
        <f>T48</f>
        <v>4.1496756379381328E-2</v>
      </c>
      <c r="U14" s="918">
        <f>U48+U15</f>
        <v>4.2898407970302532E-2</v>
      </c>
      <c r="V14" s="918">
        <f t="shared" ref="V14:AF14" si="5">V48+V15</f>
        <v>3.5017736429978852E-2</v>
      </c>
      <c r="W14" s="918">
        <f t="shared" si="5"/>
        <v>3.8113924198168725E-2</v>
      </c>
      <c r="X14" s="918">
        <f t="shared" si="5"/>
        <v>3.8299248311242984E-2</v>
      </c>
      <c r="Y14" s="918">
        <f t="shared" si="5"/>
        <v>3.5508670157945676E-2</v>
      </c>
      <c r="Z14" s="918">
        <f t="shared" si="5"/>
        <v>2.8203399736230539E-2</v>
      </c>
      <c r="AA14" s="918">
        <f t="shared" si="5"/>
        <v>2.4481644318991469E-2</v>
      </c>
      <c r="AB14" s="918">
        <f t="shared" si="5"/>
        <v>2.665590972416565E-2</v>
      </c>
      <c r="AC14" s="918">
        <f t="shared" si="5"/>
        <v>5.6768969247473322E-2</v>
      </c>
      <c r="AD14" s="918">
        <f t="shared" si="5"/>
        <v>1.5299895562953081E-2</v>
      </c>
      <c r="AE14" s="918">
        <f>AE48+AE15</f>
        <v>1.4729668703095777E-2</v>
      </c>
      <c r="AF14" s="918">
        <f t="shared" si="5"/>
        <v>1.5119603614899724E-2</v>
      </c>
      <c r="AG14" s="911">
        <f t="shared" ref="AG14:AH14" si="6">AG48+AG15</f>
        <v>2.1515602617293128E-2</v>
      </c>
      <c r="AH14" s="911">
        <f t="shared" si="6"/>
        <v>2.2790850007197161E-2</v>
      </c>
      <c r="AI14" s="918">
        <f t="shared" ref="AI14:AN14" si="7">AI48+AI15</f>
        <v>2.3263295207157642E-2</v>
      </c>
      <c r="AJ14" s="911">
        <f t="shared" si="7"/>
        <v>2.3889685874715294E-2</v>
      </c>
      <c r="AK14" s="911">
        <f t="shared" si="7"/>
        <v>2.2412555601408091E-2</v>
      </c>
      <c r="AL14" s="911">
        <f t="shared" si="7"/>
        <v>2.2147320108405477E-2</v>
      </c>
      <c r="AM14" s="911">
        <f t="shared" si="7"/>
        <v>2.2772302614111117E-2</v>
      </c>
      <c r="AN14" s="911">
        <f t="shared" si="7"/>
        <v>2.3247045836330082E-2</v>
      </c>
    </row>
    <row r="15" spans="2:40" x14ac:dyDescent="0.35">
      <c r="B15" s="341" t="s">
        <v>1735</v>
      </c>
      <c r="C15" s="949"/>
      <c r="D15" s="950"/>
      <c r="E15" s="951"/>
      <c r="F15" s="951"/>
      <c r="G15" s="951"/>
      <c r="H15" s="951"/>
      <c r="I15" s="951"/>
      <c r="J15" s="951"/>
      <c r="K15" s="951"/>
      <c r="L15" s="951"/>
      <c r="M15" s="951"/>
      <c r="N15" s="951"/>
      <c r="O15" s="951"/>
      <c r="P15" s="951"/>
      <c r="Q15" s="951"/>
      <c r="R15" s="951"/>
      <c r="S15" s="951"/>
      <c r="T15" s="951"/>
      <c r="U15" s="951"/>
      <c r="V15" s="951"/>
      <c r="W15" s="951"/>
      <c r="X15" s="951"/>
      <c r="Y15" s="951"/>
      <c r="Z15" s="951"/>
      <c r="AA15" s="951"/>
      <c r="AB15" s="951"/>
      <c r="AC15" s="951"/>
      <c r="AD15" s="951"/>
      <c r="AE15" s="951"/>
      <c r="AF15" s="951"/>
      <c r="AG15" s="918"/>
      <c r="AH15" s="918"/>
      <c r="AI15" s="918"/>
      <c r="AJ15" s="918"/>
    </row>
    <row r="16" spans="2:40" x14ac:dyDescent="0.35">
      <c r="B16" s="742" t="s">
        <v>1704</v>
      </c>
      <c r="C16" s="948"/>
      <c r="D16" s="918">
        <f t="shared" ref="D16:T16" si="8">D49</f>
        <v>1.7606158659444704E-2</v>
      </c>
      <c r="E16" s="918">
        <f t="shared" si="8"/>
        <v>-1.9289094877951052E-2</v>
      </c>
      <c r="F16" s="918">
        <f t="shared" si="8"/>
        <v>3.0411677963670725E-2</v>
      </c>
      <c r="G16" s="918">
        <f t="shared" si="8"/>
        <v>1.5793384791695786E-2</v>
      </c>
      <c r="H16" s="918">
        <f t="shared" si="8"/>
        <v>2.3589262537388134E-2</v>
      </c>
      <c r="I16" s="918">
        <f t="shared" si="8"/>
        <v>5.264893740513088E-2</v>
      </c>
      <c r="J16" s="918">
        <f t="shared" si="8"/>
        <v>-5.217742186237273E-3</v>
      </c>
      <c r="K16" s="918">
        <f t="shared" si="8"/>
        <v>4.8875550231923137E-2</v>
      </c>
      <c r="L16" s="918">
        <f t="shared" si="8"/>
        <v>4.9958958569866319E-2</v>
      </c>
      <c r="M16" s="918">
        <f t="shared" si="8"/>
        <v>9.1754054615137415E-2</v>
      </c>
      <c r="N16" s="918">
        <f t="shared" si="8"/>
        <v>8.1251965588764241E-2</v>
      </c>
      <c r="O16" s="918">
        <f t="shared" si="8"/>
        <v>6.5854996027893797E-2</v>
      </c>
      <c r="P16" s="918">
        <f t="shared" si="8"/>
        <v>8.1420811365759738E-2</v>
      </c>
      <c r="Q16" s="918">
        <f t="shared" si="8"/>
        <v>9.5809760841454095E-2</v>
      </c>
      <c r="R16" s="918">
        <f t="shared" si="8"/>
        <v>0.14288883985037359</v>
      </c>
      <c r="S16" s="918">
        <f t="shared" si="8"/>
        <v>5.753757100426693E-3</v>
      </c>
      <c r="T16" s="918">
        <f t="shared" si="8"/>
        <v>1.1355976812321922E-2</v>
      </c>
      <c r="U16" s="936">
        <f>U49+U17</f>
        <v>-2.087064600501487E-2</v>
      </c>
      <c r="V16" s="918">
        <f t="shared" ref="V16:AF16" si="9">V49+V17</f>
        <v>-3.6759658065968148E-2</v>
      </c>
      <c r="W16" s="918">
        <f t="shared" si="9"/>
        <v>4.0372871979416969E-2</v>
      </c>
      <c r="X16" s="918">
        <f t="shared" si="9"/>
        <v>-1.1102871005200798E-3</v>
      </c>
      <c r="Y16" s="918">
        <f t="shared" si="9"/>
        <v>3.8608393322818291E-2</v>
      </c>
      <c r="Z16" s="918">
        <f t="shared" si="9"/>
        <v>1.6292943839810503E-2</v>
      </c>
      <c r="AA16" s="918">
        <f t="shared" si="9"/>
        <v>2.3887845221117976E-2</v>
      </c>
      <c r="AB16" s="918">
        <f t="shared" si="9"/>
        <v>1.7801857364531548E-2</v>
      </c>
      <c r="AC16" s="918">
        <f t="shared" si="9"/>
        <v>3.9281195609842667E-2</v>
      </c>
      <c r="AD16" s="918">
        <f t="shared" si="9"/>
        <v>2.8606309371189242E-2</v>
      </c>
      <c r="AE16" s="918">
        <f t="shared" si="9"/>
        <v>3.1343868352262882E-2</v>
      </c>
      <c r="AF16" s="918">
        <f t="shared" si="9"/>
        <v>3.2394354805230341E-2</v>
      </c>
      <c r="AG16" s="911">
        <f t="shared" ref="AG16:AH16" si="10">AG49+AG17</f>
        <v>3.3164637629816696E-2</v>
      </c>
      <c r="AH16" s="911">
        <f t="shared" si="10"/>
        <v>3.1425713898589613E-2</v>
      </c>
      <c r="AI16" s="911">
        <f t="shared" ref="AI16:AM16" si="11">AI49+AI17</f>
        <v>3.1013053419121528E-2</v>
      </c>
      <c r="AJ16" s="911">
        <f t="shared" si="11"/>
        <v>3.1015398756455648E-2</v>
      </c>
      <c r="AK16" s="911">
        <f t="shared" si="11"/>
        <v>3.0542269425562596E-2</v>
      </c>
      <c r="AL16" s="911">
        <f t="shared" si="11"/>
        <v>3.0334679878840642E-2</v>
      </c>
      <c r="AM16" s="911">
        <f t="shared" si="11"/>
        <v>2.9994558057691467E-2</v>
      </c>
      <c r="AN16" s="911">
        <f>AN49+AN17</f>
        <v>2.9803649988641601E-2</v>
      </c>
    </row>
    <row r="17" spans="2:40" x14ac:dyDescent="0.35">
      <c r="B17" s="341" t="s">
        <v>1736</v>
      </c>
      <c r="C17" s="949"/>
      <c r="D17" s="950"/>
      <c r="E17" s="951"/>
      <c r="F17" s="951"/>
      <c r="G17" s="951"/>
      <c r="H17" s="951"/>
      <c r="I17" s="951"/>
      <c r="J17" s="951"/>
      <c r="K17" s="951"/>
      <c r="L17" s="951"/>
      <c r="M17" s="951"/>
      <c r="N17" s="951"/>
      <c r="O17" s="951"/>
      <c r="P17" s="951"/>
      <c r="Q17" s="951"/>
      <c r="R17" s="951"/>
      <c r="S17" s="951"/>
      <c r="T17" s="951"/>
      <c r="U17" s="951"/>
      <c r="V17" s="951"/>
      <c r="W17" s="951"/>
      <c r="X17" s="951"/>
      <c r="Y17" s="951"/>
      <c r="Z17" s="951"/>
      <c r="AA17" s="951"/>
      <c r="AB17" s="951"/>
      <c r="AC17" s="951"/>
      <c r="AD17" s="951"/>
      <c r="AE17" s="951"/>
      <c r="AF17" s="951"/>
      <c r="AG17" s="918"/>
      <c r="AH17" s="918"/>
      <c r="AI17" s="918"/>
      <c r="AJ17" s="951"/>
    </row>
    <row r="18" spans="2:40" x14ac:dyDescent="0.35">
      <c r="B18" s="742" t="s">
        <v>1705</v>
      </c>
      <c r="C18" s="948"/>
      <c r="D18" s="918">
        <f t="shared" ref="D18:T18" si="12">D51</f>
        <v>1.2331231439726587E-2</v>
      </c>
      <c r="E18" s="918">
        <f t="shared" si="12"/>
        <v>-2.700843667145636E-2</v>
      </c>
      <c r="F18" s="918">
        <f t="shared" si="12"/>
        <v>2.7562863533678428E-2</v>
      </c>
      <c r="G18" s="918">
        <f t="shared" si="12"/>
        <v>1.5442696812244527E-2</v>
      </c>
      <c r="H18" s="918">
        <f t="shared" si="12"/>
        <v>2.7307145143274258E-2</v>
      </c>
      <c r="I18" s="918">
        <f t="shared" si="12"/>
        <v>6.2563226282339235E-2</v>
      </c>
      <c r="J18" s="918">
        <f t="shared" si="12"/>
        <v>-3.1076845521187391E-3</v>
      </c>
      <c r="K18" s="918">
        <f t="shared" si="12"/>
        <v>5.0835204325521355E-2</v>
      </c>
      <c r="L18" s="918">
        <f t="shared" si="12"/>
        <v>5.6516511024412575E-2</v>
      </c>
      <c r="M18" s="918">
        <f t="shared" si="12"/>
        <v>9.8643019696944334E-2</v>
      </c>
      <c r="N18" s="918">
        <f t="shared" si="12"/>
        <v>7.7982454628441111E-2</v>
      </c>
      <c r="O18" s="918">
        <f t="shared" si="12"/>
        <v>6.0955299775054206E-2</v>
      </c>
      <c r="P18" s="918">
        <f t="shared" si="12"/>
        <v>7.2782919540383961E-2</v>
      </c>
      <c r="Q18" s="918">
        <f t="shared" si="12"/>
        <v>9.0061872181369962E-2</v>
      </c>
      <c r="R18" s="918">
        <f t="shared" si="12"/>
        <v>0.1436965164831121</v>
      </c>
      <c r="S18" s="918">
        <f t="shared" si="12"/>
        <v>-1.1746560973159292E-2</v>
      </c>
      <c r="T18" s="918">
        <f t="shared" si="12"/>
        <v>2.1967430570584145E-3</v>
      </c>
      <c r="U18" s="936">
        <f>U51+U19</f>
        <v>-3.5599925493891349E-2</v>
      </c>
      <c r="V18" s="918">
        <f t="shared" ref="V18:AF18" si="13">V51+V19</f>
        <v>-4.5280831786954745E-2</v>
      </c>
      <c r="W18" s="918">
        <f t="shared" si="13"/>
        <v>4.8134298648978557E-2</v>
      </c>
      <c r="X18" s="918">
        <f t="shared" si="13"/>
        <v>-4.2594526301267255E-3</v>
      </c>
      <c r="Y18" s="918">
        <f t="shared" si="13"/>
        <v>4.217111451589628E-2</v>
      </c>
      <c r="Z18" s="918">
        <f t="shared" si="13"/>
        <v>1.9463682308167529E-2</v>
      </c>
      <c r="AA18" s="918">
        <f t="shared" si="13"/>
        <v>2.1874539845902152E-2</v>
      </c>
      <c r="AB18" s="918">
        <f t="shared" si="13"/>
        <v>1.9072730382637015E-2</v>
      </c>
      <c r="AC18" s="918">
        <f t="shared" si="13"/>
        <v>4.161891556378583E-2</v>
      </c>
      <c r="AD18" s="918">
        <f t="shared" si="13"/>
        <v>2.8606309371189242E-2</v>
      </c>
      <c r="AE18" s="918">
        <f t="shared" si="13"/>
        <v>3.1343868352262882E-2</v>
      </c>
      <c r="AF18" s="918">
        <f t="shared" si="13"/>
        <v>3.2394354805230341E-2</v>
      </c>
      <c r="AG18" s="911">
        <f t="shared" ref="AG18:AH18" si="14">AG51+AG19</f>
        <v>3.3164637629816696E-2</v>
      </c>
      <c r="AH18" s="911">
        <f t="shared" si="14"/>
        <v>3.1425713898589613E-2</v>
      </c>
      <c r="AI18" s="911">
        <f t="shared" ref="AI18:AN18" si="15">AI51+AI19</f>
        <v>3.1013053419121528E-2</v>
      </c>
      <c r="AJ18" s="911">
        <f t="shared" si="15"/>
        <v>3.1015398756455648E-2</v>
      </c>
      <c r="AK18" s="911">
        <f t="shared" si="15"/>
        <v>3.0542269425562596E-2</v>
      </c>
      <c r="AL18" s="911">
        <f t="shared" si="15"/>
        <v>3.0334679878840642E-2</v>
      </c>
      <c r="AM18" s="911">
        <f t="shared" si="15"/>
        <v>2.9994558057691467E-2</v>
      </c>
      <c r="AN18" s="911">
        <f t="shared" si="15"/>
        <v>2.9803649988641601E-2</v>
      </c>
    </row>
    <row r="19" spans="2:40" x14ac:dyDescent="0.35">
      <c r="B19" s="341" t="s">
        <v>1737</v>
      </c>
      <c r="C19" s="949"/>
      <c r="D19" s="950"/>
      <c r="E19" s="951"/>
      <c r="F19" s="951"/>
      <c r="G19" s="951"/>
      <c r="H19" s="951"/>
      <c r="I19" s="951"/>
      <c r="J19" s="951"/>
      <c r="K19" s="951"/>
      <c r="L19" s="951"/>
      <c r="M19" s="951"/>
      <c r="N19" s="951"/>
      <c r="O19" s="951"/>
      <c r="P19" s="951"/>
      <c r="Q19" s="951"/>
      <c r="R19" s="951"/>
      <c r="S19" s="951"/>
      <c r="T19" s="951"/>
      <c r="U19" s="951"/>
      <c r="V19" s="951"/>
      <c r="W19" s="951"/>
      <c r="X19" s="951"/>
      <c r="Y19" s="951"/>
      <c r="Z19" s="951"/>
      <c r="AA19" s="951"/>
      <c r="AB19" s="951"/>
      <c r="AC19" s="951"/>
      <c r="AD19" s="951"/>
      <c r="AE19" s="951"/>
      <c r="AF19" s="951"/>
      <c r="AG19" s="918"/>
      <c r="AH19" s="918"/>
      <c r="AI19" s="918"/>
      <c r="AJ19" s="918"/>
    </row>
    <row r="20" spans="2:40" x14ac:dyDescent="0.35">
      <c r="B20" s="742" t="s">
        <v>1706</v>
      </c>
      <c r="C20" s="948"/>
      <c r="D20" s="918">
        <f t="shared" ref="D20:T20" si="16">D52</f>
        <v>4.0962242441666019E-2</v>
      </c>
      <c r="E20" s="918">
        <f t="shared" si="16"/>
        <v>1.51792670994777E-2</v>
      </c>
      <c r="F20" s="918">
        <f t="shared" si="16"/>
        <v>4.2702169718882965E-2</v>
      </c>
      <c r="G20" s="918">
        <f t="shared" si="16"/>
        <v>1.755007684826615E-2</v>
      </c>
      <c r="H20" s="918">
        <f t="shared" si="16"/>
        <v>7.6166905113348449E-3</v>
      </c>
      <c r="I20" s="918">
        <f t="shared" si="16"/>
        <v>1.0120807804920418E-2</v>
      </c>
      <c r="J20" s="918">
        <f t="shared" si="16"/>
        <v>-1.4337681566159555E-2</v>
      </c>
      <c r="K20" s="918">
        <f t="shared" si="16"/>
        <v>3.9796166071044636E-2</v>
      </c>
      <c r="L20" s="918">
        <f t="shared" si="16"/>
        <v>2.0329576447674524E-2</v>
      </c>
      <c r="M20" s="918">
        <f t="shared" si="16"/>
        <v>5.9674403216350091E-2</v>
      </c>
      <c r="N20" s="918">
        <f t="shared" si="16"/>
        <v>9.5803328528480503E-2</v>
      </c>
      <c r="O20" s="918">
        <f t="shared" si="16"/>
        <v>8.9244367976453631E-2</v>
      </c>
      <c r="P20" s="918">
        <f t="shared" si="16"/>
        <v>0.12456668920888303</v>
      </c>
      <c r="Q20" s="918">
        <f t="shared" si="16"/>
        <v>0.12433979312392585</v>
      </c>
      <c r="R20" s="918">
        <f t="shared" si="16"/>
        <v>0.13846732874655276</v>
      </c>
      <c r="S20" s="918">
        <f t="shared" si="16"/>
        <v>9.552027198699542E-2</v>
      </c>
      <c r="T20" s="918">
        <f t="shared" si="16"/>
        <v>5.5161829119105388E-2</v>
      </c>
      <c r="U20" s="918">
        <f>U52+U21</f>
        <v>5.0122233379745529E-2</v>
      </c>
      <c r="V20" s="918">
        <f t="shared" ref="V20:AF20" si="17">V52+V21</f>
        <v>2.1164173736800684E-3</v>
      </c>
      <c r="W20" s="918">
        <f t="shared" si="17"/>
        <v>5.8706332638096548E-3</v>
      </c>
      <c r="X20" s="918">
        <f t="shared" si="17"/>
        <v>1.2084409350409553E-2</v>
      </c>
      <c r="Y20" s="918">
        <f t="shared" si="17"/>
        <v>2.380676700323181E-2</v>
      </c>
      <c r="Z20" s="918">
        <f t="shared" si="17"/>
        <v>3.3212249496941126E-3</v>
      </c>
      <c r="AA20" s="918">
        <f t="shared" si="17"/>
        <v>3.2150473499066079E-2</v>
      </c>
      <c r="AB20" s="918">
        <f t="shared" si="17"/>
        <v>1.2769263183438628E-2</v>
      </c>
      <c r="AC20" s="918">
        <f t="shared" si="17"/>
        <v>2.9707566513271333E-2</v>
      </c>
      <c r="AD20" s="918">
        <f t="shared" si="17"/>
        <v>2.8606309371189242E-2</v>
      </c>
      <c r="AE20" s="918">
        <f t="shared" si="17"/>
        <v>3.1343868352262882E-2</v>
      </c>
      <c r="AF20" s="918">
        <f t="shared" si="17"/>
        <v>3.2394354805230341E-2</v>
      </c>
      <c r="AG20" s="911">
        <f t="shared" ref="AG20:AH20" si="18">AG52+AG21</f>
        <v>3.3164637629816696E-2</v>
      </c>
      <c r="AH20" s="911">
        <f t="shared" si="18"/>
        <v>3.1425713898589613E-2</v>
      </c>
      <c r="AI20" s="911">
        <f t="shared" ref="AI20:AN20" si="19">AI52+AI21</f>
        <v>3.1013053419121528E-2</v>
      </c>
      <c r="AJ20" s="911">
        <f t="shared" si="19"/>
        <v>3.1015398756455648E-2</v>
      </c>
      <c r="AK20" s="911">
        <f t="shared" si="19"/>
        <v>3.0542269425562596E-2</v>
      </c>
      <c r="AL20" s="911">
        <f t="shared" si="19"/>
        <v>3.0334679878840642E-2</v>
      </c>
      <c r="AM20" s="911">
        <f t="shared" si="19"/>
        <v>2.9994558057691467E-2</v>
      </c>
      <c r="AN20" s="911">
        <f t="shared" si="19"/>
        <v>2.9803649988641601E-2</v>
      </c>
    </row>
    <row r="21" spans="2:40" x14ac:dyDescent="0.35">
      <c r="B21" s="341" t="s">
        <v>1738</v>
      </c>
      <c r="C21" s="949"/>
      <c r="D21" s="922"/>
      <c r="E21" s="922"/>
      <c r="F21" s="922"/>
      <c r="G21" s="922"/>
      <c r="H21" s="922"/>
      <c r="I21" s="922"/>
      <c r="J21" s="922"/>
      <c r="K21" s="922"/>
      <c r="L21" s="922"/>
      <c r="M21" s="922"/>
      <c r="N21" s="922"/>
      <c r="O21" s="922"/>
      <c r="P21" s="922"/>
      <c r="Q21" s="922"/>
      <c r="R21" s="922"/>
      <c r="S21" s="922"/>
      <c r="T21" s="922"/>
      <c r="U21" s="922"/>
      <c r="V21" s="922"/>
      <c r="W21" s="922"/>
      <c r="X21" s="922"/>
      <c r="Y21" s="922"/>
      <c r="Z21" s="922"/>
      <c r="AA21" s="922"/>
      <c r="AB21" s="922"/>
      <c r="AC21" s="922"/>
      <c r="AD21" s="922"/>
      <c r="AE21" s="922"/>
      <c r="AF21" s="922"/>
      <c r="AG21" s="35"/>
      <c r="AH21" s="35"/>
      <c r="AI21" s="35"/>
      <c r="AJ21" s="35"/>
      <c r="AK21" s="35"/>
      <c r="AL21" s="35"/>
      <c r="AM21" s="35"/>
      <c r="AN21" s="35"/>
    </row>
    <row r="22" spans="2:40" x14ac:dyDescent="0.35">
      <c r="B22" s="1421" t="s">
        <v>1727</v>
      </c>
      <c r="C22" s="1422"/>
      <c r="D22" s="1422"/>
      <c r="E22" s="1422"/>
      <c r="F22" s="1422"/>
      <c r="G22" s="1422"/>
      <c r="H22" s="1422"/>
      <c r="I22" s="1422"/>
      <c r="J22" s="1422"/>
      <c r="K22" s="1422"/>
      <c r="L22" s="1422"/>
      <c r="M22" s="1422"/>
      <c r="N22" s="1422"/>
      <c r="O22" s="1422"/>
      <c r="P22" s="1422"/>
      <c r="Q22" s="1422"/>
      <c r="R22" s="1422"/>
      <c r="S22" s="1422"/>
      <c r="T22" s="1422"/>
      <c r="U22" s="1422"/>
      <c r="V22" s="1422"/>
      <c r="W22" s="1422"/>
      <c r="X22" s="1422"/>
      <c r="Y22" s="1422"/>
      <c r="Z22" s="1422"/>
      <c r="AA22" s="1422"/>
      <c r="AB22" s="1422"/>
      <c r="AC22" s="1422"/>
      <c r="AD22" s="1422"/>
      <c r="AE22" s="1422"/>
      <c r="AF22" s="1422"/>
      <c r="AG22" s="1422"/>
      <c r="AH22" s="1422"/>
      <c r="AI22" s="1422"/>
      <c r="AJ22" s="1422"/>
      <c r="AK22" s="1422"/>
      <c r="AL22" s="1422"/>
      <c r="AM22" s="1422"/>
      <c r="AN22" s="1423"/>
    </row>
    <row r="23" spans="2:40" x14ac:dyDescent="0.35">
      <c r="B23" s="935" t="s">
        <v>1702</v>
      </c>
      <c r="C23" s="943"/>
      <c r="D23" s="933">
        <f t="shared" ref="D23:AF23" si="20">(D12+1)^0.25-1</f>
        <v>3.7944725878693575E-3</v>
      </c>
      <c r="E23" s="933">
        <f t="shared" si="20"/>
        <v>2.0362035034391379E-3</v>
      </c>
      <c r="F23" s="933">
        <f t="shared" si="20"/>
        <v>5.590611661529854E-3</v>
      </c>
      <c r="G23" s="933">
        <f t="shared" si="20"/>
        <v>2.407518418966248E-3</v>
      </c>
      <c r="H23" s="933">
        <f t="shared" si="20"/>
        <v>3.9353749698576301E-3</v>
      </c>
      <c r="I23" s="933">
        <f t="shared" si="20"/>
        <v>3.0840771307514281E-3</v>
      </c>
      <c r="J23" s="933">
        <f t="shared" si="20"/>
        <v>-3.9845216658365157E-3</v>
      </c>
      <c r="K23" s="933">
        <f t="shared" si="20"/>
        <v>8.1163211139745339E-3</v>
      </c>
      <c r="L23" s="933">
        <f t="shared" si="20"/>
        <v>4.8458485958486897E-3</v>
      </c>
      <c r="M23" s="933">
        <f t="shared" si="20"/>
        <v>1.128726029998095E-2</v>
      </c>
      <c r="N23" s="933">
        <f t="shared" si="20"/>
        <v>1.5573224192473534E-2</v>
      </c>
      <c r="O23" s="933">
        <f t="shared" si="20"/>
        <v>1.3800051761748033E-2</v>
      </c>
      <c r="P23" s="933">
        <f t="shared" si="20"/>
        <v>1.6502402421568085E-2</v>
      </c>
      <c r="Q23" s="933">
        <f t="shared" si="20"/>
        <v>1.8781785076822377E-2</v>
      </c>
      <c r="R23" s="933">
        <f t="shared" si="20"/>
        <v>1.8373905005062419E-2</v>
      </c>
      <c r="S23" s="934">
        <f t="shared" si="20"/>
        <v>1.1601770523549382E-2</v>
      </c>
      <c r="T23" s="933">
        <f t="shared" si="20"/>
        <v>9.8962517305620779E-3</v>
      </c>
      <c r="U23" s="933">
        <f t="shared" si="20"/>
        <v>9.7146532173442157E-3</v>
      </c>
      <c r="V23" s="933">
        <f t="shared" si="20"/>
        <v>7.2242708682535017E-3</v>
      </c>
      <c r="W23" s="933">
        <f t="shared" si="20"/>
        <v>6.6648915811020615E-3</v>
      </c>
      <c r="X23" s="933">
        <f t="shared" si="20"/>
        <v>4.1080151756858196E-3</v>
      </c>
      <c r="Y23" s="933">
        <f t="shared" si="20"/>
        <v>8.4540665130061754E-3</v>
      </c>
      <c r="Z23" s="933">
        <f t="shared" si="20"/>
        <v>6.269029524843539E-3</v>
      </c>
      <c r="AA23" s="933">
        <f t="shared" si="20"/>
        <v>3.8288379639017656E-3</v>
      </c>
      <c r="AB23" s="933">
        <f t="shared" si="20"/>
        <v>5.9072139122564593E-3</v>
      </c>
      <c r="AC23" s="933">
        <f t="shared" si="20"/>
        <v>9.0216745127653653E-3</v>
      </c>
      <c r="AD23" s="933">
        <f>(AD12+1)^0.25-1</f>
        <v>4.2191321221234368E-3</v>
      </c>
      <c r="AE23" s="933">
        <f t="shared" si="20"/>
        <v>5.9160265843611892E-3</v>
      </c>
      <c r="AF23" s="934">
        <f t="shared" si="20"/>
        <v>5.4580007617439641E-3</v>
      </c>
      <c r="AG23" s="934">
        <f t="shared" ref="AG23" si="21">(AG12+1)^0.25-1</f>
        <v>5.3246047022768028E-3</v>
      </c>
      <c r="AH23" s="934">
        <f>(AH12+1)^0.25-1</f>
        <v>5.0560151008076648E-3</v>
      </c>
      <c r="AI23" s="934">
        <f>(AI12+1)^0.25-1</f>
        <v>5.0400673136283825E-3</v>
      </c>
      <c r="AJ23" s="934">
        <f>(AJ12+1)^0.25-1</f>
        <v>5.0641944009628403E-3</v>
      </c>
      <c r="AK23" s="934">
        <f>(AK12+1)^0.25-1</f>
        <v>5.0315604958042215E-3</v>
      </c>
      <c r="AL23" s="934">
        <f t="shared" ref="AL23:AN23" si="22">(AL12+1)^0.25-1</f>
        <v>5.0077163079846887E-3</v>
      </c>
      <c r="AM23" s="934">
        <f t="shared" si="22"/>
        <v>4.9844806962866528E-3</v>
      </c>
      <c r="AN23" s="934">
        <f t="shared" si="22"/>
        <v>4.9785638082857631E-3</v>
      </c>
    </row>
    <row r="24" spans="2:40" x14ac:dyDescent="0.35">
      <c r="B24" s="919" t="s">
        <v>1703</v>
      </c>
      <c r="C24" s="943"/>
      <c r="D24" s="933">
        <f t="shared" ref="D24:AF24" si="23">(D14+1)^0.25-1</f>
        <v>7.2893513350869021E-3</v>
      </c>
      <c r="E24" s="933">
        <f t="shared" si="23"/>
        <v>9.183063847828965E-3</v>
      </c>
      <c r="F24" s="933">
        <f t="shared" si="23"/>
        <v>-6.6551450859820838E-3</v>
      </c>
      <c r="G24" s="933">
        <f t="shared" si="23"/>
        <v>9.3238748870549948E-4</v>
      </c>
      <c r="H24" s="933">
        <f t="shared" si="23"/>
        <v>3.6396462148640119E-3</v>
      </c>
      <c r="I24" s="933">
        <f t="shared" si="23"/>
        <v>3.0236341019997948E-3</v>
      </c>
      <c r="J24" s="933">
        <f t="shared" si="23"/>
        <v>6.3915440825756953E-4</v>
      </c>
      <c r="K24" s="933">
        <f t="shared" si="23"/>
        <v>5.4627096183730295E-3</v>
      </c>
      <c r="L24" s="933">
        <f t="shared" si="23"/>
        <v>7.4621204938085661E-3</v>
      </c>
      <c r="M24" s="933">
        <f t="shared" si="23"/>
        <v>7.6797831590638133E-3</v>
      </c>
      <c r="N24" s="933">
        <f t="shared" si="23"/>
        <v>1.0778096367762835E-2</v>
      </c>
      <c r="O24" s="933">
        <f t="shared" si="23"/>
        <v>1.1808950038346699E-2</v>
      </c>
      <c r="P24" s="933">
        <f t="shared" si="23"/>
        <v>1.2374316216290149E-2</v>
      </c>
      <c r="Q24" s="933">
        <f t="shared" si="23"/>
        <v>1.602980443097346E-2</v>
      </c>
      <c r="R24" s="933">
        <f t="shared" si="23"/>
        <v>1.8218461729688551E-2</v>
      </c>
      <c r="S24" s="934">
        <f t="shared" si="23"/>
        <v>1.3070584644896854E-2</v>
      </c>
      <c r="T24" s="933">
        <f t="shared" si="23"/>
        <v>1.0216553053776778E-2</v>
      </c>
      <c r="U24" s="933">
        <f t="shared" si="23"/>
        <v>1.0556270288231362E-2</v>
      </c>
      <c r="V24" s="933">
        <f t="shared" si="23"/>
        <v>8.6417671359919623E-3</v>
      </c>
      <c r="W24" s="933">
        <f t="shared" si="23"/>
        <v>9.3952438667612714E-3</v>
      </c>
      <c r="X24" s="933">
        <f t="shared" si="23"/>
        <v>9.4402901647081539E-3</v>
      </c>
      <c r="Y24" s="933">
        <f t="shared" si="23"/>
        <v>8.7613516107596379E-3</v>
      </c>
      <c r="Z24" s="933">
        <f t="shared" si="23"/>
        <v>6.977481763400073E-3</v>
      </c>
      <c r="AA24" s="933">
        <f t="shared" si="23"/>
        <v>6.0650111043811794E-3</v>
      </c>
      <c r="AB24" s="933">
        <f t="shared" si="23"/>
        <v>6.5983817107628795E-3</v>
      </c>
      <c r="AC24" s="933">
        <f t="shared" si="23"/>
        <v>1.3899743217595351E-2</v>
      </c>
      <c r="AD24" s="933">
        <f t="shared" si="23"/>
        <v>3.8032220794554927E-3</v>
      </c>
      <c r="AE24" s="933">
        <f t="shared" si="23"/>
        <v>3.6622499009297815E-3</v>
      </c>
      <c r="AF24" s="934">
        <f t="shared" si="23"/>
        <v>3.7586565053258081E-3</v>
      </c>
      <c r="AG24" s="934">
        <f t="shared" ref="AG24" si="24">(AG14+1)^0.25-1</f>
        <v>5.3360385557714718E-3</v>
      </c>
      <c r="AH24" s="934">
        <f>(AH14+1)^0.25-1</f>
        <v>5.6496540320822852E-3</v>
      </c>
      <c r="AI24" s="934">
        <f>(AI14+1)^0.25-1</f>
        <v>5.7657657657657069E-3</v>
      </c>
      <c r="AJ24" s="934">
        <f>(AJ14+1)^0.25-1</f>
        <v>5.9196503336531592E-3</v>
      </c>
      <c r="AK24" s="934">
        <f t="shared" ref="AK24:AN24" si="25">(AK14+1)^0.25-1</f>
        <v>5.5566525119521426E-3</v>
      </c>
      <c r="AL24" s="934">
        <f t="shared" si="25"/>
        <v>5.4914304880231413E-3</v>
      </c>
      <c r="AM24" s="934">
        <f t="shared" si="25"/>
        <v>5.6450948628539166E-3</v>
      </c>
      <c r="AN24" s="934">
        <f t="shared" si="25"/>
        <v>5.7617728642578303E-3</v>
      </c>
    </row>
    <row r="25" spans="2:40" x14ac:dyDescent="0.35">
      <c r="B25" s="919" t="s">
        <v>1704</v>
      </c>
      <c r="C25" s="943"/>
      <c r="D25" s="933">
        <f t="shared" ref="D25:AF25" si="26">(D16+1)^0.25-1</f>
        <v>4.372774229274734E-3</v>
      </c>
      <c r="E25" s="933">
        <f t="shared" si="26"/>
        <v>-4.8575529720429333E-3</v>
      </c>
      <c r="F25" s="933">
        <f t="shared" si="26"/>
        <v>7.5177196568785298E-3</v>
      </c>
      <c r="G25" s="933">
        <f t="shared" si="26"/>
        <v>3.9251751633120335E-3</v>
      </c>
      <c r="H25" s="933">
        <f t="shared" si="26"/>
        <v>5.8458545430506437E-3</v>
      </c>
      <c r="I25" s="933">
        <f t="shared" si="26"/>
        <v>1.2910070794133643E-2</v>
      </c>
      <c r="J25" s="933">
        <f t="shared" si="26"/>
        <v>-1.3069956711562192E-3</v>
      </c>
      <c r="K25" s="933">
        <f t="shared" si="26"/>
        <v>1.200111379246338E-2</v>
      </c>
      <c r="L25" s="933">
        <f t="shared" si="26"/>
        <v>1.2262342593526654E-2</v>
      </c>
      <c r="M25" s="933">
        <f t="shared" si="26"/>
        <v>2.2189000634230238E-2</v>
      </c>
      <c r="N25" s="933">
        <f t="shared" si="26"/>
        <v>1.972185536124238E-2</v>
      </c>
      <c r="O25" s="933">
        <f t="shared" si="26"/>
        <v>1.6072111539932488E-2</v>
      </c>
      <c r="P25" s="933">
        <f t="shared" si="26"/>
        <v>1.976166237499255E-2</v>
      </c>
      <c r="Q25" s="933">
        <f t="shared" si="26"/>
        <v>2.3137001585530559E-2</v>
      </c>
      <c r="R25" s="933">
        <f t="shared" si="26"/>
        <v>3.395347693115025E-2</v>
      </c>
      <c r="S25" s="934">
        <f t="shared" si="26"/>
        <v>1.4353459897542553E-3</v>
      </c>
      <c r="T25" s="933">
        <f t="shared" si="26"/>
        <v>2.8269838378878198E-3</v>
      </c>
      <c r="U25" s="933">
        <f t="shared" si="26"/>
        <v>-5.2590018951358397E-3</v>
      </c>
      <c r="V25" s="933">
        <f t="shared" si="26"/>
        <v>-9.3193833648214097E-3</v>
      </c>
      <c r="W25" s="933">
        <f t="shared" si="26"/>
        <v>9.9439102564102821E-3</v>
      </c>
      <c r="X25" s="933">
        <f t="shared" si="26"/>
        <v>-2.7768741917311157E-4</v>
      </c>
      <c r="Y25" s="933">
        <f t="shared" si="26"/>
        <v>9.5154199006395324E-3</v>
      </c>
      <c r="Z25" s="933">
        <f t="shared" si="26"/>
        <v>4.0485829959513442E-3</v>
      </c>
      <c r="AA25" s="933">
        <f t="shared" si="26"/>
        <v>5.9191982461634929E-3</v>
      </c>
      <c r="AB25" s="933">
        <f t="shared" si="26"/>
        <v>4.4210591861515436E-3</v>
      </c>
      <c r="AC25" s="933">
        <f t="shared" si="26"/>
        <v>9.6788692229006212E-3</v>
      </c>
      <c r="AD25" s="933">
        <f t="shared" si="26"/>
        <v>7.076115293487284E-3</v>
      </c>
      <c r="AE25" s="933">
        <f t="shared" si="26"/>
        <v>7.7455120761196206E-3</v>
      </c>
      <c r="AF25" s="934">
        <f t="shared" si="26"/>
        <v>8.0020266414988495E-3</v>
      </c>
      <c r="AG25" s="934">
        <f t="shared" ref="AG25" si="27">(AG16+1)^0.25-1</f>
        <v>8.189994905591913E-3</v>
      </c>
      <c r="AH25" s="934">
        <f>(AH16+1)^0.25-1</f>
        <v>7.7655046872424638E-3</v>
      </c>
      <c r="AI25" s="934">
        <f>(AI16+1)^0.25-1</f>
        <v>7.6646909789201967E-3</v>
      </c>
      <c r="AJ25" s="934">
        <f>(AJ16+1)^0.25-1</f>
        <v>7.6652640346144274E-3</v>
      </c>
      <c r="AK25" s="934">
        <f t="shared" ref="AK25:AN25" si="28">(AK16+1)^0.25-1</f>
        <v>7.549640626419496E-3</v>
      </c>
      <c r="AL25" s="934">
        <f t="shared" si="28"/>
        <v>7.4988972991580916E-3</v>
      </c>
      <c r="AM25" s="934">
        <f t="shared" si="28"/>
        <v>7.4157411184010424E-3</v>
      </c>
      <c r="AN25" s="934">
        <f t="shared" si="28"/>
        <v>7.3690570943414357E-3</v>
      </c>
    </row>
    <row r="26" spans="2:40" x14ac:dyDescent="0.35">
      <c r="B26" s="919" t="s">
        <v>1705</v>
      </c>
      <c r="C26" s="943"/>
      <c r="D26" s="933">
        <f t="shared" ref="D26:AF26" si="29">(D18+1)^0.25-1</f>
        <v>3.0686539854383188E-3</v>
      </c>
      <c r="E26" s="933">
        <f t="shared" si="29"/>
        <v>-6.8215934786326482E-3</v>
      </c>
      <c r="F26" s="933">
        <f t="shared" si="29"/>
        <v>6.8206168209994367E-3</v>
      </c>
      <c r="G26" s="933">
        <f t="shared" si="29"/>
        <v>3.838516280439741E-3</v>
      </c>
      <c r="H26" s="933">
        <f t="shared" si="29"/>
        <v>6.757971851248934E-3</v>
      </c>
      <c r="I26" s="933">
        <f t="shared" si="29"/>
        <v>1.5286696061748373E-2</v>
      </c>
      <c r="J26" s="933">
        <f t="shared" si="29"/>
        <v>-7.7782819256788649E-4</v>
      </c>
      <c r="K26" s="933">
        <f t="shared" si="29"/>
        <v>1.2473473018932424E-2</v>
      </c>
      <c r="L26" s="933">
        <f t="shared" si="29"/>
        <v>1.3839183561393131E-2</v>
      </c>
      <c r="M26" s="933">
        <f t="shared" si="29"/>
        <v>2.3797701481488298E-2</v>
      </c>
      <c r="N26" s="933">
        <f t="shared" si="29"/>
        <v>1.8950115958131564E-2</v>
      </c>
      <c r="O26" s="933">
        <f t="shared" si="29"/>
        <v>1.4902381611741955E-2</v>
      </c>
      <c r="P26" s="933">
        <f t="shared" si="29"/>
        <v>1.7719187543701054E-2</v>
      </c>
      <c r="Q26" s="933">
        <f t="shared" si="29"/>
        <v>2.1792680474562731E-2</v>
      </c>
      <c r="R26" s="933">
        <f t="shared" si="29"/>
        <v>3.413610161291647E-2</v>
      </c>
      <c r="S26" s="934">
        <f t="shared" si="29"/>
        <v>-2.9496653874211409E-3</v>
      </c>
      <c r="T26" s="933">
        <f t="shared" si="29"/>
        <v>5.4873393561516437E-4</v>
      </c>
      <c r="U26" s="933">
        <f t="shared" si="29"/>
        <v>-9.0213253002472404E-3</v>
      </c>
      <c r="V26" s="933">
        <f t="shared" si="29"/>
        <v>-1.1517669516674878E-2</v>
      </c>
      <c r="W26" s="933">
        <f t="shared" si="29"/>
        <v>1.1822268382531975E-2</v>
      </c>
      <c r="X26" s="933">
        <f t="shared" si="29"/>
        <v>-1.0665682964577927E-3</v>
      </c>
      <c r="Y26" s="933">
        <f t="shared" si="29"/>
        <v>1.0380039497134064E-2</v>
      </c>
      <c r="Z26" s="933">
        <f t="shared" si="29"/>
        <v>4.8308027236829698E-3</v>
      </c>
      <c r="AA26" s="933">
        <f t="shared" si="29"/>
        <v>5.424339946389134E-3</v>
      </c>
      <c r="AB26" s="933">
        <f t="shared" si="29"/>
        <v>4.734453768294733E-3</v>
      </c>
      <c r="AC26" s="933">
        <f t="shared" si="29"/>
        <v>1.0246174318030654E-2</v>
      </c>
      <c r="AD26" s="933">
        <f t="shared" si="29"/>
        <v>7.076115293487284E-3</v>
      </c>
      <c r="AE26" s="933">
        <f t="shared" si="29"/>
        <v>7.7455120761196206E-3</v>
      </c>
      <c r="AF26" s="934">
        <f t="shared" si="29"/>
        <v>8.0020266414988495E-3</v>
      </c>
      <c r="AG26" s="934">
        <f t="shared" ref="AG26" si="30">(AG18+1)^0.25-1</f>
        <v>8.189994905591913E-3</v>
      </c>
      <c r="AH26" s="934">
        <f>(AH18+1)^0.25-1</f>
        <v>7.7655046872424638E-3</v>
      </c>
      <c r="AI26" s="934">
        <f>(AI18+1)^0.25-1</f>
        <v>7.6646909789201967E-3</v>
      </c>
      <c r="AJ26" s="934">
        <f>(AJ18+1)^0.25-1</f>
        <v>7.6652640346144274E-3</v>
      </c>
      <c r="AK26" s="934">
        <f t="shared" ref="AK26:AN26" si="31">(AK18+1)^0.25-1</f>
        <v>7.549640626419496E-3</v>
      </c>
      <c r="AL26" s="934">
        <f t="shared" si="31"/>
        <v>7.4988972991580916E-3</v>
      </c>
      <c r="AM26" s="934">
        <f t="shared" si="31"/>
        <v>7.4157411184010424E-3</v>
      </c>
      <c r="AN26" s="934">
        <f t="shared" si="31"/>
        <v>7.3690570943414357E-3</v>
      </c>
    </row>
    <row r="27" spans="2:40" x14ac:dyDescent="0.35">
      <c r="B27" s="920" t="s">
        <v>1706</v>
      </c>
      <c r="C27" s="944"/>
      <c r="D27" s="945">
        <f t="shared" ref="D27:AF27" si="32">(D20+1)^0.25-1</f>
        <v>1.0086913000375342E-2</v>
      </c>
      <c r="E27" s="945">
        <f t="shared" si="32"/>
        <v>3.7734051169659999E-3</v>
      </c>
      <c r="F27" s="945">
        <f t="shared" si="32"/>
        <v>1.0508728795056044E-2</v>
      </c>
      <c r="G27" s="945">
        <f t="shared" si="32"/>
        <v>4.3589358184279448E-3</v>
      </c>
      <c r="H27" s="945">
        <f t="shared" si="32"/>
        <v>1.8987578569289454E-3</v>
      </c>
      <c r="I27" s="945">
        <f t="shared" si="32"/>
        <v>2.520655370396474E-3</v>
      </c>
      <c r="J27" s="945">
        <f t="shared" si="32"/>
        <v>-3.6038552870513163E-3</v>
      </c>
      <c r="K27" s="945">
        <f t="shared" si="32"/>
        <v>9.8039215686274161E-3</v>
      </c>
      <c r="L27" s="945">
        <f t="shared" si="32"/>
        <v>5.044101178190985E-3</v>
      </c>
      <c r="M27" s="945">
        <f t="shared" si="32"/>
        <v>1.4595918668041996E-2</v>
      </c>
      <c r="N27" s="945">
        <f t="shared" si="32"/>
        <v>2.3135500149758847E-2</v>
      </c>
      <c r="O27" s="945">
        <f t="shared" si="32"/>
        <v>2.1601050334439265E-2</v>
      </c>
      <c r="P27" s="945">
        <f t="shared" si="32"/>
        <v>2.9784388812184703E-2</v>
      </c>
      <c r="Q27" s="945">
        <f t="shared" si="32"/>
        <v>2.9732441753590244E-2</v>
      </c>
      <c r="R27" s="945">
        <f t="shared" si="32"/>
        <v>3.2952005044342814E-2</v>
      </c>
      <c r="S27" s="946">
        <f t="shared" si="32"/>
        <v>2.3069422313125587E-2</v>
      </c>
      <c r="T27" s="945">
        <f t="shared" si="32"/>
        <v>1.3514037086113317E-2</v>
      </c>
      <c r="U27" s="945">
        <f t="shared" si="32"/>
        <v>1.230169348981236E-2</v>
      </c>
      <c r="V27" s="945">
        <f t="shared" si="32"/>
        <v>5.2868493398983141E-4</v>
      </c>
      <c r="W27" s="945">
        <f t="shared" si="32"/>
        <v>1.464438304874971E-3</v>
      </c>
      <c r="X27" s="945">
        <f t="shared" si="32"/>
        <v>3.0075074622366582E-3</v>
      </c>
      <c r="Y27" s="945">
        <f t="shared" si="32"/>
        <v>5.8992838194293906E-3</v>
      </c>
      <c r="Z27" s="945">
        <f t="shared" si="32"/>
        <v>8.2927412365885189E-4</v>
      </c>
      <c r="AA27" s="945">
        <f t="shared" si="32"/>
        <v>7.9424915834969134E-3</v>
      </c>
      <c r="AB27" s="945">
        <f t="shared" si="32"/>
        <v>3.1771423493078821E-3</v>
      </c>
      <c r="AC27" s="945">
        <f t="shared" si="32"/>
        <v>7.3455587054098714E-3</v>
      </c>
      <c r="AD27" s="945">
        <f t="shared" si="32"/>
        <v>7.076115293487284E-3</v>
      </c>
      <c r="AE27" s="945">
        <f t="shared" si="32"/>
        <v>7.7455120761196206E-3</v>
      </c>
      <c r="AF27" s="946">
        <f t="shared" si="32"/>
        <v>8.0020266414988495E-3</v>
      </c>
      <c r="AG27" s="946">
        <f t="shared" ref="AG27" si="33">(AG20+1)^0.25-1</f>
        <v>8.189994905591913E-3</v>
      </c>
      <c r="AH27" s="946">
        <f>(AH20+1)^0.25-1</f>
        <v>7.7655046872424638E-3</v>
      </c>
      <c r="AI27" s="946">
        <f>(AI20+1)^0.25-1</f>
        <v>7.6646909789201967E-3</v>
      </c>
      <c r="AJ27" s="946">
        <f>(AJ20+1)^0.25-1</f>
        <v>7.6652640346144274E-3</v>
      </c>
      <c r="AK27" s="946">
        <f t="shared" ref="AK27:AN27" si="34">(AK20+1)^0.25-1</f>
        <v>7.549640626419496E-3</v>
      </c>
      <c r="AL27" s="946">
        <f t="shared" si="34"/>
        <v>7.4988972991580916E-3</v>
      </c>
      <c r="AM27" s="946">
        <f t="shared" si="34"/>
        <v>7.4157411184010424E-3</v>
      </c>
      <c r="AN27" s="946">
        <f t="shared" si="34"/>
        <v>7.3690570943414357E-3</v>
      </c>
    </row>
    <row r="28" spans="2:40" x14ac:dyDescent="0.35">
      <c r="B28" s="56"/>
      <c r="C28" s="937"/>
      <c r="D28" s="918"/>
      <c r="E28" s="918"/>
      <c r="F28" s="918"/>
      <c r="G28" s="918"/>
      <c r="H28" s="918"/>
      <c r="I28" s="918"/>
      <c r="J28" s="918"/>
      <c r="K28" s="918"/>
      <c r="L28" s="918"/>
      <c r="M28" s="918"/>
      <c r="N28" s="918"/>
      <c r="O28" s="918"/>
      <c r="P28" s="918"/>
      <c r="Q28" s="918"/>
      <c r="R28" s="918"/>
      <c r="S28" s="918"/>
      <c r="T28" s="918"/>
      <c r="U28" s="918"/>
      <c r="V28" s="918"/>
      <c r="W28" s="918"/>
      <c r="X28" s="918"/>
      <c r="Y28" s="918"/>
      <c r="Z28" s="918"/>
      <c r="AA28" s="918"/>
      <c r="AB28" s="918"/>
      <c r="AC28" s="918"/>
      <c r="AD28" s="918"/>
      <c r="AE28" s="918"/>
      <c r="AF28" s="918"/>
    </row>
    <row r="29" spans="2:40" x14ac:dyDescent="0.35">
      <c r="B29" s="56"/>
      <c r="C29" s="937"/>
      <c r="D29" s="918"/>
      <c r="E29" s="918"/>
      <c r="F29" s="918"/>
      <c r="G29" s="918"/>
      <c r="H29" s="918"/>
      <c r="I29" s="918"/>
      <c r="J29" s="918"/>
      <c r="K29" s="918"/>
      <c r="L29" s="918"/>
      <c r="M29" s="918"/>
      <c r="N29" s="918"/>
      <c r="O29" s="918"/>
      <c r="P29" s="918"/>
      <c r="Q29" s="443"/>
      <c r="R29" s="918"/>
      <c r="S29" s="918"/>
      <c r="T29" s="918"/>
      <c r="U29" s="918"/>
      <c r="V29" s="918"/>
      <c r="W29" s="918"/>
      <c r="X29" s="918"/>
      <c r="Y29" s="918"/>
      <c r="Z29" s="918"/>
      <c r="AA29" s="918"/>
      <c r="AB29" s="918"/>
      <c r="AC29" s="918"/>
      <c r="AD29" s="918"/>
      <c r="AE29" s="918"/>
      <c r="AF29" s="918"/>
    </row>
    <row r="30" spans="2:40" x14ac:dyDescent="0.35">
      <c r="B30" s="56"/>
      <c r="C30" s="937"/>
      <c r="D30" s="918"/>
      <c r="E30" s="918"/>
      <c r="F30" s="918"/>
      <c r="G30" s="918"/>
      <c r="H30" s="918"/>
      <c r="I30" s="918"/>
      <c r="J30" s="918"/>
      <c r="K30" s="918"/>
      <c r="L30" s="918"/>
      <c r="M30" s="918"/>
      <c r="N30" s="918"/>
      <c r="O30" s="918"/>
      <c r="P30" s="918"/>
      <c r="Q30" s="443"/>
      <c r="R30" s="918"/>
      <c r="S30" s="918"/>
      <c r="T30" s="918"/>
      <c r="U30" s="918"/>
      <c r="V30" s="918"/>
      <c r="W30" s="918"/>
      <c r="X30" s="918"/>
      <c r="Y30" s="918"/>
      <c r="Z30" s="918"/>
      <c r="AA30" s="918"/>
      <c r="AB30" s="918"/>
      <c r="AC30" s="918"/>
      <c r="AD30" s="918"/>
      <c r="AE30" s="918"/>
      <c r="AF30" s="918"/>
    </row>
    <row r="31" spans="2:40" x14ac:dyDescent="0.35">
      <c r="B31" s="56"/>
      <c r="C31" s="937"/>
      <c r="D31" s="918"/>
      <c r="E31" s="918"/>
      <c r="F31" s="918"/>
      <c r="G31" s="918"/>
      <c r="H31" s="918"/>
      <c r="I31" s="918"/>
      <c r="J31" s="918"/>
      <c r="K31" s="918"/>
      <c r="L31" s="918"/>
      <c r="M31" s="918"/>
      <c r="N31" s="918"/>
      <c r="O31" s="918"/>
      <c r="P31" s="918"/>
      <c r="Q31" s="56"/>
      <c r="R31" s="918"/>
      <c r="S31" s="918"/>
      <c r="T31" s="918"/>
      <c r="U31" s="918"/>
      <c r="V31" s="918"/>
      <c r="W31" s="918"/>
      <c r="X31" s="918"/>
      <c r="Y31" s="918"/>
      <c r="Z31" s="918"/>
      <c r="AA31" s="918"/>
      <c r="AB31" s="918"/>
      <c r="AC31" s="918"/>
      <c r="AD31" s="918"/>
      <c r="AE31" s="918"/>
      <c r="AF31" s="918"/>
    </row>
    <row r="32" spans="2:40" x14ac:dyDescent="0.35">
      <c r="B32" s="56"/>
      <c r="C32" s="937"/>
      <c r="D32" s="918"/>
      <c r="E32" s="918"/>
      <c r="F32" s="918"/>
      <c r="G32" s="918"/>
      <c r="H32" s="918"/>
      <c r="I32" s="918"/>
      <c r="J32" s="918"/>
      <c r="K32" s="918"/>
      <c r="L32" s="918"/>
      <c r="M32" s="918"/>
      <c r="N32" s="918"/>
      <c r="O32" s="918"/>
      <c r="P32" s="918"/>
      <c r="Q32" s="56"/>
      <c r="R32" s="918"/>
      <c r="S32" s="918"/>
      <c r="T32" s="918"/>
      <c r="U32" s="918"/>
      <c r="V32" s="918"/>
      <c r="W32" s="918"/>
      <c r="X32" s="918"/>
      <c r="Y32" s="918"/>
      <c r="Z32" s="918"/>
      <c r="AA32" s="918"/>
      <c r="AB32" s="918"/>
      <c r="AC32" s="918"/>
      <c r="AD32" s="918"/>
      <c r="AE32" s="918"/>
      <c r="AF32" s="918"/>
    </row>
    <row r="33" spans="2:40" x14ac:dyDescent="0.35">
      <c r="B33" s="56"/>
      <c r="C33" s="937"/>
      <c r="D33" s="918"/>
      <c r="E33" s="918"/>
      <c r="F33" s="918"/>
      <c r="G33" s="918"/>
      <c r="H33" s="918"/>
      <c r="I33" s="918"/>
      <c r="J33" s="918"/>
      <c r="K33" s="918"/>
      <c r="L33" s="918"/>
      <c r="M33" s="918"/>
      <c r="N33" s="918"/>
      <c r="O33" s="918"/>
      <c r="P33" s="918"/>
      <c r="Q33" s="56"/>
      <c r="R33" s="918"/>
      <c r="S33" s="918"/>
      <c r="T33" s="918"/>
      <c r="U33" s="918"/>
      <c r="V33" s="918"/>
      <c r="W33" s="918"/>
      <c r="X33" s="918"/>
      <c r="Y33" s="918"/>
      <c r="Z33" s="918"/>
      <c r="AA33" s="918"/>
      <c r="AB33" s="918"/>
      <c r="AC33" s="918"/>
      <c r="AD33" s="918"/>
      <c r="AE33" s="918"/>
      <c r="AF33" s="918"/>
    </row>
    <row r="34" spans="2:40" x14ac:dyDescent="0.35">
      <c r="B34" s="56"/>
      <c r="C34" s="937"/>
      <c r="D34" s="918"/>
      <c r="E34" s="918"/>
      <c r="F34" s="918"/>
      <c r="G34" s="918"/>
      <c r="H34" s="918"/>
      <c r="I34" s="918"/>
      <c r="J34" s="918"/>
      <c r="K34" s="918"/>
      <c r="L34" s="918"/>
      <c r="M34" s="918"/>
      <c r="N34" s="918"/>
      <c r="O34" s="918"/>
      <c r="P34" s="918"/>
      <c r="Q34" s="56"/>
      <c r="R34" s="918"/>
      <c r="S34" s="918"/>
      <c r="T34" s="918"/>
      <c r="U34" s="918"/>
      <c r="V34" s="918"/>
      <c r="W34" s="918"/>
      <c r="X34" s="918"/>
      <c r="Y34" s="918"/>
      <c r="Z34" s="918"/>
      <c r="AA34" s="918"/>
      <c r="AB34" s="918"/>
      <c r="AC34" s="918"/>
      <c r="AD34" s="918"/>
      <c r="AE34" s="918"/>
      <c r="AF34" s="918"/>
    </row>
    <row r="35" spans="2:40" x14ac:dyDescent="0.35">
      <c r="B35" s="56"/>
      <c r="C35" s="937"/>
      <c r="D35" s="918"/>
      <c r="E35" s="918"/>
      <c r="F35" s="918"/>
      <c r="G35" s="918"/>
      <c r="H35" s="918"/>
      <c r="I35" s="918"/>
      <c r="J35" s="918"/>
      <c r="K35" s="918"/>
      <c r="L35" s="918"/>
      <c r="M35" s="918"/>
      <c r="N35" s="918"/>
      <c r="O35" s="918"/>
      <c r="P35" s="918"/>
      <c r="Q35" s="56"/>
      <c r="R35" s="918"/>
      <c r="S35" s="918"/>
      <c r="T35" s="918"/>
      <c r="U35" s="918"/>
      <c r="V35" s="918"/>
      <c r="W35" s="918"/>
      <c r="X35" s="918"/>
      <c r="Y35" s="918"/>
      <c r="Z35" s="918"/>
      <c r="AA35" s="918"/>
      <c r="AB35" s="918"/>
      <c r="AC35" s="918"/>
      <c r="AD35" s="918"/>
      <c r="AE35" s="918"/>
      <c r="AF35" s="918"/>
    </row>
    <row r="36" spans="2:40" x14ac:dyDescent="0.35">
      <c r="B36" s="56"/>
      <c r="C36" s="937"/>
      <c r="D36" s="918"/>
      <c r="E36" s="918"/>
      <c r="F36" s="918"/>
      <c r="G36" s="918"/>
      <c r="H36" s="918"/>
      <c r="I36" s="918"/>
      <c r="J36" s="918"/>
      <c r="K36" s="918"/>
      <c r="L36" s="918"/>
      <c r="M36" s="918"/>
      <c r="N36" s="918"/>
      <c r="O36" s="918"/>
      <c r="P36" s="918"/>
      <c r="Q36" s="56"/>
      <c r="R36" s="918"/>
      <c r="S36" s="918"/>
      <c r="T36" s="918"/>
      <c r="U36" s="918"/>
      <c r="V36" s="918"/>
      <c r="W36" s="918"/>
      <c r="X36" s="918"/>
      <c r="Y36" s="918"/>
      <c r="Z36" s="918"/>
      <c r="AA36" s="918"/>
      <c r="AB36" s="918"/>
      <c r="AC36" s="918"/>
      <c r="AD36" s="918"/>
      <c r="AE36" s="918"/>
      <c r="AF36" s="918"/>
    </row>
    <row r="37" spans="2:40" x14ac:dyDescent="0.35">
      <c r="B37" s="56"/>
      <c r="C37" s="937"/>
      <c r="D37" s="918"/>
      <c r="E37" s="918"/>
      <c r="F37" s="918"/>
      <c r="G37" s="918"/>
      <c r="H37" s="918"/>
      <c r="I37" s="918"/>
      <c r="J37" s="918"/>
      <c r="K37" s="918"/>
      <c r="L37" s="918"/>
      <c r="M37" s="918"/>
      <c r="N37" s="918"/>
      <c r="O37" s="918"/>
      <c r="P37" s="918"/>
      <c r="Q37" s="56"/>
      <c r="R37" s="918"/>
      <c r="S37" s="918"/>
      <c r="T37" s="918"/>
      <c r="U37" s="918"/>
      <c r="V37" s="918"/>
      <c r="W37" s="918"/>
      <c r="X37" s="918"/>
      <c r="Y37" s="918"/>
      <c r="Z37" s="918"/>
      <c r="AA37" s="918"/>
      <c r="AB37" s="918"/>
      <c r="AC37" s="918"/>
      <c r="AD37" s="918"/>
      <c r="AE37" s="918"/>
      <c r="AF37" s="918"/>
    </row>
    <row r="38" spans="2:40" x14ac:dyDescent="0.35">
      <c r="B38" s="56"/>
      <c r="C38" s="937"/>
      <c r="D38" s="918"/>
      <c r="E38" s="918"/>
      <c r="F38" s="918"/>
      <c r="G38" s="918"/>
      <c r="H38" s="918"/>
      <c r="I38" s="918"/>
      <c r="J38" s="918"/>
      <c r="K38" s="918"/>
      <c r="L38" s="918"/>
      <c r="M38" s="918"/>
      <c r="N38" s="918"/>
      <c r="O38" s="918"/>
      <c r="P38" s="918"/>
      <c r="Q38" s="56"/>
      <c r="R38" s="918"/>
      <c r="S38" s="918"/>
      <c r="T38" s="918"/>
      <c r="U38" s="918"/>
      <c r="V38" s="918"/>
      <c r="W38" s="918"/>
      <c r="X38" s="918"/>
      <c r="Y38" s="918"/>
      <c r="Z38" s="918"/>
      <c r="AA38" s="918"/>
      <c r="AB38" s="918"/>
      <c r="AC38" s="918"/>
      <c r="AD38" s="918"/>
      <c r="AE38" s="918"/>
      <c r="AF38" s="918"/>
    </row>
    <row r="39" spans="2:40" x14ac:dyDescent="0.35">
      <c r="B39" s="56"/>
      <c r="C39" s="937"/>
      <c r="D39" s="918"/>
      <c r="E39" s="918"/>
      <c r="F39" s="918"/>
      <c r="G39" s="918"/>
      <c r="H39" s="918"/>
      <c r="I39" s="918"/>
      <c r="J39" s="918"/>
      <c r="K39" s="918"/>
      <c r="L39" s="918"/>
      <c r="M39" s="918"/>
      <c r="N39" s="918"/>
      <c r="O39" s="918"/>
      <c r="P39" s="918"/>
      <c r="Q39" s="918"/>
      <c r="R39" s="918"/>
      <c r="S39" s="918"/>
      <c r="T39" s="918"/>
      <c r="U39" s="918"/>
      <c r="V39" s="918"/>
      <c r="W39" s="918"/>
      <c r="X39" s="918"/>
      <c r="Y39" s="918"/>
      <c r="Z39" s="918"/>
      <c r="AA39" s="918"/>
      <c r="AB39" s="918"/>
      <c r="AC39" s="918"/>
      <c r="AD39" s="918"/>
      <c r="AE39" s="918"/>
      <c r="AF39" s="918"/>
    </row>
    <row r="40" spans="2:40" x14ac:dyDescent="0.35">
      <c r="B40" s="56"/>
      <c r="C40" s="937"/>
      <c r="D40" s="918"/>
      <c r="E40" s="918"/>
      <c r="F40" s="918"/>
      <c r="G40" s="918"/>
      <c r="H40" s="918"/>
      <c r="I40" s="918"/>
      <c r="J40" s="918"/>
      <c r="K40" s="918"/>
      <c r="L40" s="918"/>
      <c r="M40" s="918"/>
      <c r="N40" s="918"/>
      <c r="O40" s="918"/>
      <c r="P40" s="918"/>
      <c r="Q40" s="918"/>
      <c r="R40" s="918"/>
      <c r="S40" s="918"/>
      <c r="T40" s="918"/>
      <c r="U40" s="918"/>
      <c r="V40" s="918"/>
      <c r="W40" s="918"/>
      <c r="X40" s="918"/>
      <c r="Y40" s="918"/>
      <c r="Z40" s="918"/>
      <c r="AA40" s="918"/>
      <c r="AB40" s="918"/>
      <c r="AC40" s="918"/>
      <c r="AD40" s="918"/>
      <c r="AE40" s="918"/>
      <c r="AF40" s="918"/>
    </row>
    <row r="41" spans="2:40" x14ac:dyDescent="0.35">
      <c r="B41" s="939" t="s">
        <v>1819</v>
      </c>
      <c r="C41" s="939"/>
      <c r="D41" s="251"/>
      <c r="E41" s="251"/>
      <c r="F41" s="251"/>
      <c r="G41" s="251"/>
      <c r="H41" s="251"/>
      <c r="I41" s="251"/>
      <c r="J41" s="251"/>
      <c r="K41" s="251"/>
      <c r="L41" s="251"/>
      <c r="M41" s="251"/>
      <c r="N41" s="251"/>
      <c r="O41" s="251"/>
      <c r="P41" s="251"/>
      <c r="Q41" s="251"/>
      <c r="R41" s="251"/>
      <c r="S41" s="251"/>
      <c r="T41" s="251"/>
      <c r="U41" s="251"/>
      <c r="V41" s="251"/>
      <c r="W41" s="251"/>
      <c r="X41" s="251"/>
      <c r="Y41" s="251"/>
      <c r="Z41" s="251"/>
      <c r="AA41" s="251"/>
      <c r="AB41" s="251"/>
      <c r="AC41" s="251"/>
    </row>
    <row r="42" spans="2:40" x14ac:dyDescent="0.35">
      <c r="B42" s="1256" t="s">
        <v>1701</v>
      </c>
      <c r="C42" s="1257"/>
      <c r="D42" s="1276" t="s">
        <v>1725</v>
      </c>
      <c r="E42" s="1277"/>
      <c r="F42" s="1277"/>
      <c r="G42" s="1277"/>
      <c r="H42" s="1277"/>
      <c r="I42" s="1277"/>
      <c r="J42" s="1277"/>
      <c r="K42" s="1277"/>
      <c r="L42" s="1277"/>
      <c r="M42" s="1277"/>
      <c r="N42" s="1277"/>
      <c r="O42" s="1277"/>
      <c r="P42" s="1277"/>
      <c r="Q42" s="1277"/>
      <c r="R42" s="1277"/>
      <c r="S42" s="1277"/>
      <c r="T42" s="1277"/>
      <c r="U42" s="1277"/>
      <c r="V42" s="1277"/>
      <c r="W42" s="1277"/>
      <c r="X42" s="1277"/>
      <c r="Y42" s="1277"/>
      <c r="Z42" s="1277"/>
      <c r="AA42" s="1277"/>
      <c r="AB42" s="1278"/>
      <c r="AC42" s="1261" t="s">
        <v>1733</v>
      </c>
      <c r="AD42" s="1262"/>
      <c r="AE42" s="1262"/>
      <c r="AF42" s="1262"/>
      <c r="AG42" s="1262"/>
      <c r="AH42" s="1262"/>
      <c r="AI42" s="1262"/>
      <c r="AJ42" s="1262"/>
      <c r="AK42" s="1262"/>
      <c r="AL42" s="1262"/>
      <c r="AM42" s="1262"/>
      <c r="AN42" s="1263"/>
    </row>
    <row r="43" spans="2:40" x14ac:dyDescent="0.35">
      <c r="B43" s="1258"/>
      <c r="C43" s="1350"/>
      <c r="D43" s="221">
        <v>2018</v>
      </c>
      <c r="E43" s="1347">
        <v>2019</v>
      </c>
      <c r="F43" s="1348"/>
      <c r="G43" s="1348"/>
      <c r="H43" s="1389"/>
      <c r="I43" s="1347">
        <v>2020</v>
      </c>
      <c r="J43" s="1348"/>
      <c r="K43" s="1348"/>
      <c r="L43" s="1348"/>
      <c r="M43" s="1347">
        <v>2021</v>
      </c>
      <c r="N43" s="1348"/>
      <c r="O43" s="1348"/>
      <c r="P43" s="1348"/>
      <c r="Q43" s="1264">
        <v>2022</v>
      </c>
      <c r="R43" s="1265"/>
      <c r="S43" s="1265"/>
      <c r="T43" s="1266"/>
      <c r="U43" s="453"/>
      <c r="V43" s="439">
        <v>2023</v>
      </c>
      <c r="W43" s="299"/>
      <c r="X43" s="299"/>
      <c r="Y43" s="453"/>
      <c r="Z43" s="299">
        <v>2024</v>
      </c>
      <c r="AA43" s="299"/>
      <c r="AB43" s="306"/>
      <c r="AC43" s="1270">
        <v>2025</v>
      </c>
      <c r="AD43" s="1271"/>
      <c r="AE43" s="1271"/>
      <c r="AF43" s="1271"/>
      <c r="AG43" s="1270">
        <v>2026</v>
      </c>
      <c r="AH43" s="1352"/>
      <c r="AI43" s="1352"/>
      <c r="AJ43" s="1272"/>
      <c r="AK43" s="1270">
        <v>2027</v>
      </c>
      <c r="AL43" s="1352"/>
      <c r="AM43" s="1352"/>
      <c r="AN43" s="1272"/>
    </row>
    <row r="44" spans="2:40" x14ac:dyDescent="0.35">
      <c r="B44" s="1274"/>
      <c r="C44" s="1351"/>
      <c r="D44" s="221" t="s">
        <v>281</v>
      </c>
      <c r="E44" s="221" t="s">
        <v>282</v>
      </c>
      <c r="F44" s="222" t="s">
        <v>283</v>
      </c>
      <c r="G44" s="222" t="s">
        <v>238</v>
      </c>
      <c r="H44" s="228" t="s">
        <v>281</v>
      </c>
      <c r="I44" s="222" t="s">
        <v>282</v>
      </c>
      <c r="J44" s="222" t="s">
        <v>283</v>
      </c>
      <c r="K44" s="222" t="s">
        <v>238</v>
      </c>
      <c r="L44" s="222" t="s">
        <v>281</v>
      </c>
      <c r="M44" s="221" t="s">
        <v>282</v>
      </c>
      <c r="N44" s="222" t="s">
        <v>283</v>
      </c>
      <c r="O44" s="222" t="s">
        <v>238</v>
      </c>
      <c r="P44" s="222" t="s">
        <v>281</v>
      </c>
      <c r="Q44" s="221" t="s">
        <v>282</v>
      </c>
      <c r="R44" s="222" t="s">
        <v>283</v>
      </c>
      <c r="S44" s="222" t="s">
        <v>238</v>
      </c>
      <c r="T44" s="228" t="s">
        <v>281</v>
      </c>
      <c r="U44" s="221" t="s">
        <v>282</v>
      </c>
      <c r="V44" s="222" t="s">
        <v>283</v>
      </c>
      <c r="W44" s="222" t="s">
        <v>238</v>
      </c>
      <c r="X44" s="222" t="s">
        <v>281</v>
      </c>
      <c r="Y44" s="221" t="s">
        <v>282</v>
      </c>
      <c r="Z44" s="303" t="s">
        <v>283</v>
      </c>
      <c r="AA44" s="222" t="s">
        <v>238</v>
      </c>
      <c r="AB44" s="228" t="s">
        <v>281</v>
      </c>
      <c r="AC44" s="296" t="s">
        <v>282</v>
      </c>
      <c r="AD44" s="326" t="s">
        <v>283</v>
      </c>
      <c r="AE44" s="326" t="s">
        <v>238</v>
      </c>
      <c r="AF44" s="326" t="s">
        <v>281</v>
      </c>
      <c r="AG44" s="296" t="s">
        <v>282</v>
      </c>
      <c r="AH44" s="267" t="s">
        <v>283</v>
      </c>
      <c r="AI44" s="269" t="s">
        <v>238</v>
      </c>
      <c r="AJ44" s="298" t="s">
        <v>281</v>
      </c>
      <c r="AK44" s="296" t="s">
        <v>282</v>
      </c>
      <c r="AL44" s="267" t="s">
        <v>283</v>
      </c>
      <c r="AM44" s="269" t="s">
        <v>238</v>
      </c>
      <c r="AN44" s="298" t="s">
        <v>281</v>
      </c>
    </row>
    <row r="45" spans="2:40" x14ac:dyDescent="0.35">
      <c r="B45" s="947" t="s">
        <v>1895</v>
      </c>
      <c r="C45" s="960"/>
      <c r="D45" s="955">
        <f>('Haver Pivoted'!GO76+1)^4-1</f>
        <v>1.5264497223703488E-2</v>
      </c>
      <c r="E45" s="942">
        <f>('Haver Pivoted'!GP76+1)^4-1</f>
        <v>8.1697245486058723E-3</v>
      </c>
      <c r="F45" s="942">
        <f>('Haver Pivoted'!GQ76+1)^4-1</f>
        <v>2.2550676192391039E-2</v>
      </c>
      <c r="G45" s="942">
        <f>('Haver Pivoted'!GR76+1)^4-1</f>
        <v>9.6649063963889503E-3</v>
      </c>
      <c r="H45" s="942">
        <f>('Haver Pivoted'!GS76+1)^4-1</f>
        <v>1.5834666967584843E-2</v>
      </c>
      <c r="I45" s="942">
        <f>('Haver Pivoted'!GT76+1)^4-1</f>
        <v>1.239349514115573E-2</v>
      </c>
      <c r="J45" s="942">
        <f>('Haver Pivoted'!GU76+1)^4-1</f>
        <v>-1.5843080973497181E-2</v>
      </c>
      <c r="K45" s="942">
        <f>('Haver Pivoted'!GV76+1)^4-1</f>
        <v>3.2862675445769929E-2</v>
      </c>
      <c r="L45" s="942">
        <f>('Haver Pivoted'!GW76+1)^4-1</f>
        <v>1.9524743592179927E-2</v>
      </c>
      <c r="M45" s="942">
        <f>('Haver Pivoted'!GX76+1)^4-1</f>
        <v>4.5919222990944863E-2</v>
      </c>
      <c r="N45" s="942">
        <f>('Haver Pivoted'!GY76+1)^4-1</f>
        <v>6.3763215063124212E-2</v>
      </c>
      <c r="O45" s="942">
        <f>('Haver Pivoted'!GZ76+1)^4-1</f>
        <v>5.6353404292981857E-2</v>
      </c>
      <c r="P45" s="942">
        <f>('Haver Pivoted'!HA76+1)^4-1</f>
        <v>6.7661635913466744E-2</v>
      </c>
      <c r="Q45" s="942">
        <f>('Haver Pivoted'!HB76+1)^4-1</f>
        <v>7.7270298955965933E-2</v>
      </c>
      <c r="R45" s="942">
        <f>('Haver Pivoted'!HC76+1)^4-1</f>
        <v>7.554614845470442E-2</v>
      </c>
      <c r="S45" s="956">
        <f>('Haver Pivoted'!HD76+1)^4-1</f>
        <v>4.7220953130670873E-2</v>
      </c>
      <c r="T45" s="941">
        <f>('Haver Pivoted'!HE76+1)^4-1</f>
        <v>4.0176508092810925E-2</v>
      </c>
      <c r="U45" s="956">
        <f>('Haver Pivoted'!HF76+1)^4-1</f>
        <v>3.9428535960380762E-2</v>
      </c>
      <c r="V45" s="956">
        <f>('Haver Pivoted'!HG76+1)^4-1</f>
        <v>2.9211734875661532E-2</v>
      </c>
      <c r="W45" s="956">
        <f>('Haver Pivoted'!HH76+1)^4-1</f>
        <v>2.6927277215065937E-2</v>
      </c>
      <c r="X45" s="956">
        <f>('Haver Pivoted'!HI76+1)^4-1</f>
        <v>1.6533593023621451E-2</v>
      </c>
      <c r="Y45" s="956">
        <f>('Haver Pivoted'!HJ76+1)^4-1</f>
        <v>3.4247515494288061E-2</v>
      </c>
      <c r="Z45" s="956">
        <f>('Haver Pivoted'!HK76+1)^4-1</f>
        <v>2.5312909540798456E-2</v>
      </c>
      <c r="AA45" s="956">
        <f>('Haver Pivoted'!HL76+1)^4-1</f>
        <v>1.5403536594506217E-2</v>
      </c>
      <c r="AB45" s="956">
        <f>('Haver Pivoted'!HM76+1)^4-1</f>
        <v>2.3839052457011789E-2</v>
      </c>
      <c r="AC45" s="956">
        <f>('Haver Pivoted'!HN76+1)^4-1</f>
        <v>3.6577985459982365E-2</v>
      </c>
      <c r="AD45" s="963">
        <f t="shared" ref="AD45:AF45" si="35">AD46+AD47</f>
        <v>1.6983635680919155E-2</v>
      </c>
      <c r="AE45" s="963">
        <f t="shared" si="35"/>
        <v>2.3874932014508632E-2</v>
      </c>
      <c r="AF45" s="963">
        <f t="shared" si="35"/>
        <v>2.2011392938697361E-2</v>
      </c>
      <c r="AG45" s="918">
        <f t="shared" ref="AG45" si="36">AG46+AG47</f>
        <v>2.1469131944638509E-2</v>
      </c>
      <c r="AH45" s="918">
        <f>AH46+AH47</f>
        <v>2.037795778240481E-2</v>
      </c>
      <c r="AI45" s="918">
        <f t="shared" ref="AI45" si="37">AI46+AI47</f>
        <v>2.031319568771961E-2</v>
      </c>
      <c r="AJ45" s="918">
        <f>AJ46+AJ47</f>
        <v>2.0411174157790368E-2</v>
      </c>
      <c r="AK45" s="918">
        <f t="shared" ref="AK45:AN45" si="38">AK46+AK47</f>
        <v>2.0278651758323107E-2</v>
      </c>
      <c r="AL45" s="918">
        <f t="shared" si="38"/>
        <v>2.0181831515000193E-2</v>
      </c>
      <c r="AM45" s="918">
        <f t="shared" si="38"/>
        <v>2.008748904793789E-2</v>
      </c>
      <c r="AN45" s="940">
        <f t="shared" si="38"/>
        <v>2.0063466029726529E-2</v>
      </c>
    </row>
    <row r="46" spans="2:40" x14ac:dyDescent="0.35">
      <c r="B46" s="77" t="s">
        <v>1894</v>
      </c>
      <c r="C46" s="937" t="s">
        <v>1692</v>
      </c>
      <c r="D46" s="964">
        <f>('Haver Pivoted'!GO76+1)^4-1</f>
        <v>1.5264497223703488E-2</v>
      </c>
      <c r="E46" s="918">
        <f>('Haver Pivoted'!GP76+1)^4-1</f>
        <v>8.1697245486058723E-3</v>
      </c>
      <c r="F46" s="918">
        <f>('Haver Pivoted'!GQ76+1)^4-1</f>
        <v>2.2550676192391039E-2</v>
      </c>
      <c r="G46" s="918">
        <f>('Haver Pivoted'!GR76+1)^4-1</f>
        <v>9.6649063963889503E-3</v>
      </c>
      <c r="H46" s="918">
        <f>('Haver Pivoted'!GS76+1)^4-1</f>
        <v>1.5834666967584843E-2</v>
      </c>
      <c r="I46" s="918">
        <f>('Haver Pivoted'!GT76+1)^4-1</f>
        <v>1.239349514115573E-2</v>
      </c>
      <c r="J46" s="918">
        <f>('Haver Pivoted'!GU76+1)^4-1</f>
        <v>-1.5843080973497181E-2</v>
      </c>
      <c r="K46" s="918">
        <f>('Haver Pivoted'!GV76+1)^4-1</f>
        <v>3.2862675445769929E-2</v>
      </c>
      <c r="L46" s="918">
        <f>('Haver Pivoted'!GW76+1)^4-1</f>
        <v>1.9524743592179927E-2</v>
      </c>
      <c r="M46" s="918">
        <f>('Haver Pivoted'!GX76+1)^4-1</f>
        <v>4.5919222990944863E-2</v>
      </c>
      <c r="N46" s="918">
        <f>('Haver Pivoted'!GY76+1)^4-1</f>
        <v>6.3763215063124212E-2</v>
      </c>
      <c r="O46" s="918">
        <f>('Haver Pivoted'!GZ76+1)^4-1</f>
        <v>5.6353404292981857E-2</v>
      </c>
      <c r="P46" s="918">
        <f>('Haver Pivoted'!HA76+1)^4-1</f>
        <v>6.7661635913466744E-2</v>
      </c>
      <c r="Q46" s="918">
        <f>('Haver Pivoted'!HB76+1)^4-1</f>
        <v>7.7270298955965933E-2</v>
      </c>
      <c r="R46" s="918">
        <f>('Haver Pivoted'!HC76+1)^4-1</f>
        <v>7.554614845470442E-2</v>
      </c>
      <c r="S46" s="918">
        <f>('Haver Pivoted'!HD76+1)^4-1</f>
        <v>4.7220953130670873E-2</v>
      </c>
      <c r="T46" s="918">
        <f>('Haver Pivoted'!HE76+1)^4-1</f>
        <v>4.0176508092810925E-2</v>
      </c>
      <c r="U46" s="918">
        <f>('Haver Pivoted'!HF76+1)^4-1</f>
        <v>3.9428535960380762E-2</v>
      </c>
      <c r="V46" s="918">
        <f>('Haver Pivoted'!HG76+1)^4-1</f>
        <v>2.9211734875661532E-2</v>
      </c>
      <c r="W46" s="918">
        <f>('Haver Pivoted'!HH76+1)^4-1</f>
        <v>2.6927277215065937E-2</v>
      </c>
      <c r="X46" s="918">
        <f>('Haver Pivoted'!HI76+1)^4-1</f>
        <v>1.6533593023621451E-2</v>
      </c>
      <c r="Y46" s="918">
        <f t="shared" ref="Y46:AH46" si="39">(Y72/X72)^4-1</f>
        <v>3.4257335695615954E-2</v>
      </c>
      <c r="Z46" s="918">
        <f t="shared" si="39"/>
        <v>2.5320587670252914E-2</v>
      </c>
      <c r="AA46" s="918">
        <f t="shared" si="39"/>
        <v>1.4999009292827825E-2</v>
      </c>
      <c r="AB46" s="918">
        <f t="shared" si="39"/>
        <v>2.4498276208370307E-2</v>
      </c>
      <c r="AC46" s="918">
        <f t="shared" si="39"/>
        <v>2.3058368307400823E-2</v>
      </c>
      <c r="AD46" s="918">
        <f t="shared" si="39"/>
        <v>2.1483635680919155E-2</v>
      </c>
      <c r="AE46" s="918">
        <f t="shared" si="39"/>
        <v>2.187493201450863E-2</v>
      </c>
      <c r="AF46" s="918">
        <f t="shared" si="39"/>
        <v>2.2011392938697361E-2</v>
      </c>
      <c r="AG46" s="918">
        <f t="shared" si="39"/>
        <v>2.1469131944638509E-2</v>
      </c>
      <c r="AH46" s="918">
        <f t="shared" si="39"/>
        <v>2.037795778240481E-2</v>
      </c>
      <c r="AI46" s="918">
        <f t="shared" ref="AI46" si="40">(AI72/AH72)^4-1</f>
        <v>2.031319568771961E-2</v>
      </c>
      <c r="AJ46" s="918">
        <f>(AJ72/AI72)^4-1</f>
        <v>2.0411174157790368E-2</v>
      </c>
      <c r="AK46" s="918">
        <f>(AK72/AJ72)^4-1</f>
        <v>2.0278651758323107E-2</v>
      </c>
      <c r="AL46" s="918">
        <f t="shared" ref="AL46:AN46" si="41">(AL72/AK72)^4-1</f>
        <v>2.0181831515000193E-2</v>
      </c>
      <c r="AM46" s="918">
        <f t="shared" si="41"/>
        <v>2.008748904793789E-2</v>
      </c>
      <c r="AN46" s="906">
        <f t="shared" si="41"/>
        <v>2.0063466029726529E-2</v>
      </c>
    </row>
    <row r="47" spans="2:40" x14ac:dyDescent="0.35">
      <c r="B47" s="77" t="s">
        <v>1896</v>
      </c>
      <c r="C47" s="937"/>
      <c r="D47" s="964"/>
      <c r="E47" s="918"/>
      <c r="F47" s="918"/>
      <c r="G47" s="918"/>
      <c r="H47" s="918"/>
      <c r="I47" s="918"/>
      <c r="J47" s="918"/>
      <c r="K47" s="918"/>
      <c r="L47" s="918"/>
      <c r="M47" s="918"/>
      <c r="N47" s="918"/>
      <c r="O47" s="918"/>
      <c r="P47" s="918"/>
      <c r="Q47" s="918"/>
      <c r="R47" s="918"/>
      <c r="S47" s="918"/>
      <c r="T47" s="918"/>
      <c r="U47" s="918"/>
      <c r="V47" s="918"/>
      <c r="W47" s="918"/>
      <c r="X47" s="918"/>
      <c r="Y47" s="918"/>
      <c r="Z47" s="918"/>
      <c r="AA47" s="918">
        <v>-7.4999999999999997E-3</v>
      </c>
      <c r="AB47" s="918">
        <v>5.0000000000000001E-4</v>
      </c>
      <c r="AC47" s="918">
        <v>1.2E-2</v>
      </c>
      <c r="AD47" s="918">
        <v>-4.4999999999999997E-3</v>
      </c>
      <c r="AE47" s="918">
        <v>2E-3</v>
      </c>
      <c r="AN47" s="235"/>
    </row>
    <row r="48" spans="2:40" x14ac:dyDescent="0.35">
      <c r="B48" s="67" t="s">
        <v>1703</v>
      </c>
      <c r="C48" s="937" t="s">
        <v>1693</v>
      </c>
      <c r="D48" s="964">
        <f>('Haver Pivoted'!GO77+1)^4-1</f>
        <v>2.9477765289275926E-2</v>
      </c>
      <c r="E48" s="918">
        <f>('Haver Pivoted'!GP77+1)^4-1</f>
        <v>3.7241332054374521E-2</v>
      </c>
      <c r="F48" s="918">
        <f>('Haver Pivoted'!GQ77+1)^4-1</f>
        <v>-2.6356011696502479E-2</v>
      </c>
      <c r="G48" s="918">
        <f>('Haver Pivoted'!GR77+1)^4-1</f>
        <v>3.7347692764231333E-3</v>
      </c>
      <c r="H48" s="918">
        <f>('Haver Pivoted'!GS77+1)^4-1</f>
        <v>1.463826004028701E-2</v>
      </c>
      <c r="I48" s="918">
        <f>('Haver Pivoted'!GT77+1)^4-1</f>
        <v>1.2149501243322813E-2</v>
      </c>
      <c r="J48" s="918">
        <f>('Haver Pivoted'!GU77+1)^4-1</f>
        <v>2.5590697877679869E-3</v>
      </c>
      <c r="K48" s="918">
        <f>('Haver Pivoted'!GV77+1)^4-1</f>
        <v>2.2030538597398897E-2</v>
      </c>
      <c r="L48" s="918">
        <f>('Haver Pivoted'!GW77+1)^4-1</f>
        <v>3.0184246589695318E-2</v>
      </c>
      <c r="M48" s="918">
        <f>('Haver Pivoted'!GX77+1)^4-1</f>
        <v>3.1074822316861761E-2</v>
      </c>
      <c r="N48" s="918">
        <f>('Haver Pivoted'!GY77+1)^4-1</f>
        <v>4.3814411385844076E-2</v>
      </c>
      <c r="O48" s="918">
        <f>('Haver Pivoted'!GZ77+1)^4-1</f>
        <v>4.8079114499886888E-2</v>
      </c>
      <c r="P48" s="918">
        <f>('Haver Pivoted'!HA77+1)^4-1</f>
        <v>5.0423609727379137E-2</v>
      </c>
      <c r="Q48" s="918">
        <f>('Haver Pivoted'!HB77+1)^4-1</f>
        <v>6.5677487260019429E-2</v>
      </c>
      <c r="R48" s="918">
        <f>('Haver Pivoted'!HC77+1)^4-1</f>
        <v>7.488961890096113E-2</v>
      </c>
      <c r="S48" s="938">
        <f>('Haver Pivoted'!HD77+1)^4-1</f>
        <v>5.3316340788000627E-2</v>
      </c>
      <c r="T48" s="938">
        <f>('Haver Pivoted'!HE77+1)^4-1</f>
        <v>4.1496756379381328E-2</v>
      </c>
      <c r="U48" s="938">
        <f>('Haver Pivoted'!HF77+1)^4-1</f>
        <v>4.2898407970302532E-2</v>
      </c>
      <c r="V48" s="938">
        <f>('Haver Pivoted'!HG77+1)^4-1</f>
        <v>3.5017736429978852E-2</v>
      </c>
      <c r="W48" s="938">
        <f>('Haver Pivoted'!HH77+1)^4-1</f>
        <v>3.8113924198168725E-2</v>
      </c>
      <c r="X48" s="938">
        <f>('Haver Pivoted'!HI77+1)^4-1</f>
        <v>3.8299248311242984E-2</v>
      </c>
      <c r="Y48" s="938">
        <f>('Haver Pivoted'!HJ77+1)^4-1</f>
        <v>3.5508670157945676E-2</v>
      </c>
      <c r="Z48" s="938">
        <f>('Haver Pivoted'!HK77+1)^4-1</f>
        <v>2.8203399736230539E-2</v>
      </c>
      <c r="AA48" s="938">
        <f>('Haver Pivoted'!HL77+1)^4-1</f>
        <v>2.4481644318991469E-2</v>
      </c>
      <c r="AB48" s="938">
        <f>('Haver Pivoted'!HM77+1)^4-1</f>
        <v>2.665590972416565E-2</v>
      </c>
      <c r="AC48" s="938">
        <f>('Haver Pivoted'!HN77+1)^4-1</f>
        <v>5.6768969247473322E-2</v>
      </c>
      <c r="AD48" s="918">
        <f t="shared" ref="AD48:AN48" si="42">(AD73/AC73)^4-1+AD50</f>
        <v>1.5299895562953081E-2</v>
      </c>
      <c r="AE48" s="918">
        <f t="shared" si="42"/>
        <v>1.4729668703095777E-2</v>
      </c>
      <c r="AF48" s="918">
        <f t="shared" si="42"/>
        <v>1.5119603614899724E-2</v>
      </c>
      <c r="AG48" s="918">
        <f t="shared" si="42"/>
        <v>2.1515602617293128E-2</v>
      </c>
      <c r="AH48" s="918">
        <f t="shared" si="42"/>
        <v>2.2790850007197161E-2</v>
      </c>
      <c r="AI48" s="918">
        <f t="shared" si="42"/>
        <v>2.3263295207157642E-2</v>
      </c>
      <c r="AJ48" s="918">
        <f t="shared" si="42"/>
        <v>2.3889685874715294E-2</v>
      </c>
      <c r="AK48" s="918">
        <f t="shared" si="42"/>
        <v>2.2412555601408091E-2</v>
      </c>
      <c r="AL48" s="918">
        <f t="shared" si="42"/>
        <v>2.2147320108405477E-2</v>
      </c>
      <c r="AM48" s="918">
        <f t="shared" si="42"/>
        <v>2.2772302614111117E-2</v>
      </c>
      <c r="AN48" s="906">
        <f t="shared" si="42"/>
        <v>2.3247045836330082E-2</v>
      </c>
    </row>
    <row r="49" spans="2:40" x14ac:dyDescent="0.35">
      <c r="B49" s="67" t="s">
        <v>1704</v>
      </c>
      <c r="C49" s="937" t="s">
        <v>1694</v>
      </c>
      <c r="D49" s="964">
        <f>('Haver Pivoted'!GO78+1)^4-1</f>
        <v>1.7606158659444704E-2</v>
      </c>
      <c r="E49" s="918">
        <f>('Haver Pivoted'!GP78+1)^4-1</f>
        <v>-1.9289094877951052E-2</v>
      </c>
      <c r="F49" s="918">
        <f>('Haver Pivoted'!GQ78+1)^4-1</f>
        <v>3.0411677963670725E-2</v>
      </c>
      <c r="G49" s="918">
        <f>('Haver Pivoted'!GR78+1)^4-1</f>
        <v>1.5793384791695786E-2</v>
      </c>
      <c r="H49" s="918">
        <f>('Haver Pivoted'!GS78+1)^4-1</f>
        <v>2.3589262537388134E-2</v>
      </c>
      <c r="I49" s="918">
        <f>('Haver Pivoted'!GT78+1)^4-1</f>
        <v>5.264893740513088E-2</v>
      </c>
      <c r="J49" s="918">
        <f>('Haver Pivoted'!GU78+1)^4-1</f>
        <v>-5.217742186237273E-3</v>
      </c>
      <c r="K49" s="918">
        <f>('Haver Pivoted'!GV78+1)^4-1</f>
        <v>4.8875550231923137E-2</v>
      </c>
      <c r="L49" s="918">
        <f>('Haver Pivoted'!GW78+1)^4-1</f>
        <v>4.9958958569866319E-2</v>
      </c>
      <c r="M49" s="918">
        <f>('Haver Pivoted'!GX78+1)^4-1</f>
        <v>9.1754054615137415E-2</v>
      </c>
      <c r="N49" s="918">
        <f>('Haver Pivoted'!GY78+1)^4-1</f>
        <v>8.1251965588764241E-2</v>
      </c>
      <c r="O49" s="918">
        <f>('Haver Pivoted'!GZ78+1)^4-1</f>
        <v>6.5854996027893797E-2</v>
      </c>
      <c r="P49" s="918">
        <f>('Haver Pivoted'!HA78+1)^4-1</f>
        <v>8.1420811365759738E-2</v>
      </c>
      <c r="Q49" s="918">
        <f>('Haver Pivoted'!HB78+1)^4-1</f>
        <v>9.5809760841454095E-2</v>
      </c>
      <c r="R49" s="918">
        <f>('Haver Pivoted'!HC78+1)^4-1</f>
        <v>0.14288883985037359</v>
      </c>
      <c r="S49" s="938">
        <f>('Haver Pivoted'!HD78+1)^4-1</f>
        <v>5.753757100426693E-3</v>
      </c>
      <c r="T49" s="938">
        <f>('Haver Pivoted'!HE78+1)^4-1</f>
        <v>1.1355976812321922E-2</v>
      </c>
      <c r="U49" s="938">
        <f>('Haver Pivoted'!HF78+1)^4-1</f>
        <v>-2.087064600501487E-2</v>
      </c>
      <c r="V49" s="938">
        <f>('Haver Pivoted'!HG78+1)^4-1</f>
        <v>-3.6759658065968148E-2</v>
      </c>
      <c r="W49" s="938">
        <f>('Haver Pivoted'!HH78+1)^4-1</f>
        <v>4.0372871979416969E-2</v>
      </c>
      <c r="X49" s="938">
        <f>('Haver Pivoted'!HI78+1)^4-1</f>
        <v>-1.1102871005200798E-3</v>
      </c>
      <c r="Y49" s="938">
        <f>('Haver Pivoted'!HJ78+1)^4-1</f>
        <v>3.8608393322818291E-2</v>
      </c>
      <c r="Z49" s="938">
        <f>('Haver Pivoted'!HK78+1)^4-1</f>
        <v>1.6292943839810503E-2</v>
      </c>
      <c r="AA49" s="938">
        <f>('Haver Pivoted'!HL78+1)^4-1</f>
        <v>2.3887845221117976E-2</v>
      </c>
      <c r="AB49" s="938">
        <f>('Haver Pivoted'!HM78+1)^4-1</f>
        <v>1.7801857364531548E-2</v>
      </c>
      <c r="AC49" s="938">
        <f>('Haver Pivoted'!HN78+1)^4-1</f>
        <v>3.9281195609842667E-2</v>
      </c>
      <c r="AD49" s="918">
        <f>(AD74/AC74)^4-1</f>
        <v>2.8606309371189242E-2</v>
      </c>
      <c r="AE49" s="918">
        <f t="shared" ref="AE49:AN49" si="43">(AE74/AD74)^4-1</f>
        <v>3.1343868352262882E-2</v>
      </c>
      <c r="AF49" s="918">
        <f t="shared" si="43"/>
        <v>3.2394354805230341E-2</v>
      </c>
      <c r="AG49" s="918">
        <f t="shared" si="43"/>
        <v>3.3164637629816696E-2</v>
      </c>
      <c r="AH49" s="918">
        <f t="shared" si="43"/>
        <v>3.1425713898589613E-2</v>
      </c>
      <c r="AI49" s="918">
        <f t="shared" si="43"/>
        <v>3.1013053419121528E-2</v>
      </c>
      <c r="AJ49" s="918">
        <f t="shared" si="43"/>
        <v>3.1015398756455648E-2</v>
      </c>
      <c r="AK49" s="918">
        <f t="shared" si="43"/>
        <v>3.0542269425562596E-2</v>
      </c>
      <c r="AL49" s="918">
        <f t="shared" si="43"/>
        <v>3.0334679878840642E-2</v>
      </c>
      <c r="AM49" s="918">
        <f t="shared" si="43"/>
        <v>2.9994558057691467E-2</v>
      </c>
      <c r="AN49" s="906">
        <f t="shared" si="43"/>
        <v>2.9803649988641601E-2</v>
      </c>
    </row>
    <row r="50" spans="2:40" x14ac:dyDescent="0.35">
      <c r="B50" s="67" t="s">
        <v>1986</v>
      </c>
      <c r="C50" s="937"/>
      <c r="D50" s="964"/>
      <c r="E50" s="918"/>
      <c r="F50" s="918"/>
      <c r="G50" s="918"/>
      <c r="H50" s="918"/>
      <c r="I50" s="918"/>
      <c r="J50" s="918"/>
      <c r="K50" s="918"/>
      <c r="L50" s="918"/>
      <c r="M50" s="918"/>
      <c r="N50" s="918"/>
      <c r="O50" s="918"/>
      <c r="P50" s="918"/>
      <c r="Q50" s="918"/>
      <c r="R50" s="918"/>
      <c r="S50" s="938"/>
      <c r="T50" s="938"/>
      <c r="U50" s="938"/>
      <c r="V50" s="938"/>
      <c r="W50" s="938"/>
      <c r="X50" s="938"/>
      <c r="Y50" s="938"/>
      <c r="Z50" s="938"/>
      <c r="AA50" s="938"/>
      <c r="AB50" s="938"/>
      <c r="AC50" s="938"/>
      <c r="AD50" s="918"/>
      <c r="AE50" s="918"/>
      <c r="AF50" s="918"/>
      <c r="AG50" s="918"/>
      <c r="AH50" s="918"/>
      <c r="AI50" s="918"/>
      <c r="AJ50" s="918"/>
      <c r="AK50" s="918"/>
      <c r="AL50" s="918"/>
      <c r="AM50" s="918"/>
      <c r="AN50" s="906"/>
    </row>
    <row r="51" spans="2:40" x14ac:dyDescent="0.35">
      <c r="B51" s="67" t="s">
        <v>1705</v>
      </c>
      <c r="C51" s="937" t="s">
        <v>1695</v>
      </c>
      <c r="D51" s="964">
        <f>('Haver Pivoted'!GO79+1)^4-1</f>
        <v>1.2331231439726587E-2</v>
      </c>
      <c r="E51" s="918">
        <f>('Haver Pivoted'!GP79+1)^4-1</f>
        <v>-2.700843667145636E-2</v>
      </c>
      <c r="F51" s="918">
        <f>('Haver Pivoted'!GQ79+1)^4-1</f>
        <v>2.7562863533678428E-2</v>
      </c>
      <c r="G51" s="918">
        <f>('Haver Pivoted'!GR79+1)^4-1</f>
        <v>1.5442696812244527E-2</v>
      </c>
      <c r="H51" s="918">
        <f>('Haver Pivoted'!GS79+1)^4-1</f>
        <v>2.7307145143274258E-2</v>
      </c>
      <c r="I51" s="918">
        <f>('Haver Pivoted'!GT79+1)^4-1</f>
        <v>6.2563226282339235E-2</v>
      </c>
      <c r="J51" s="918">
        <f>('Haver Pivoted'!GU79+1)^4-1</f>
        <v>-3.1076845521187391E-3</v>
      </c>
      <c r="K51" s="918">
        <f>('Haver Pivoted'!GV79+1)^4-1</f>
        <v>5.0835204325521355E-2</v>
      </c>
      <c r="L51" s="918">
        <f>('Haver Pivoted'!GW79+1)^4-1</f>
        <v>5.6516511024412575E-2</v>
      </c>
      <c r="M51" s="918">
        <f>('Haver Pivoted'!GX79+1)^4-1</f>
        <v>9.8643019696944334E-2</v>
      </c>
      <c r="N51" s="918">
        <f>('Haver Pivoted'!GY79+1)^4-1</f>
        <v>7.7982454628441111E-2</v>
      </c>
      <c r="O51" s="918">
        <f>('Haver Pivoted'!GZ79+1)^4-1</f>
        <v>6.0955299775054206E-2</v>
      </c>
      <c r="P51" s="918">
        <f>('Haver Pivoted'!HA79+1)^4-1</f>
        <v>7.2782919540383961E-2</v>
      </c>
      <c r="Q51" s="918">
        <f>('Haver Pivoted'!HB79+1)^4-1</f>
        <v>9.0061872181369962E-2</v>
      </c>
      <c r="R51" s="918">
        <f>('Haver Pivoted'!HC79+1)^4-1</f>
        <v>0.1436965164831121</v>
      </c>
      <c r="S51" s="938">
        <f>('Haver Pivoted'!HD79+1)^4-1</f>
        <v>-1.1746560973159292E-2</v>
      </c>
      <c r="T51" s="938">
        <f>('Haver Pivoted'!HE79+1)^4-1</f>
        <v>2.1967430570584145E-3</v>
      </c>
      <c r="U51" s="938">
        <f>('Haver Pivoted'!HF79+1)^4-1</f>
        <v>-3.5599925493891349E-2</v>
      </c>
      <c r="V51" s="938">
        <f>('Haver Pivoted'!HG79+1)^4-1</f>
        <v>-4.5280831786954745E-2</v>
      </c>
      <c r="W51" s="938">
        <f>('Haver Pivoted'!HH79+1)^4-1</f>
        <v>4.8134298648978557E-2</v>
      </c>
      <c r="X51" s="938">
        <f>('Haver Pivoted'!HI79+1)^4-1</f>
        <v>-4.2594526301267255E-3</v>
      </c>
      <c r="Y51" s="938">
        <f>('Haver Pivoted'!HJ79+1)^4-1</f>
        <v>4.217111451589628E-2</v>
      </c>
      <c r="Z51" s="938">
        <f>('Haver Pivoted'!HK79+1)^4-1</f>
        <v>1.9463682308167529E-2</v>
      </c>
      <c r="AA51" s="938">
        <f>('Haver Pivoted'!HL79+1)^4-1</f>
        <v>2.1874539845902152E-2</v>
      </c>
      <c r="AB51" s="938">
        <f>('Haver Pivoted'!HM79+1)^4-1</f>
        <v>1.9072730382637015E-2</v>
      </c>
      <c r="AC51" s="938">
        <f>('Haver Pivoted'!HN79+1)^4-1</f>
        <v>4.161891556378583E-2</v>
      </c>
      <c r="AD51" s="918">
        <f t="shared" ref="AD51:AF51" si="44">AD49</f>
        <v>2.8606309371189242E-2</v>
      </c>
      <c r="AE51" s="918">
        <f t="shared" si="44"/>
        <v>3.1343868352262882E-2</v>
      </c>
      <c r="AF51" s="918">
        <f t="shared" si="44"/>
        <v>3.2394354805230341E-2</v>
      </c>
      <c r="AG51" s="918">
        <f t="shared" ref="AG51:AH51" si="45">AG49</f>
        <v>3.3164637629816696E-2</v>
      </c>
      <c r="AH51" s="918">
        <f t="shared" si="45"/>
        <v>3.1425713898589613E-2</v>
      </c>
      <c r="AI51" s="918">
        <f t="shared" ref="AI51:AN51" si="46">AI49</f>
        <v>3.1013053419121528E-2</v>
      </c>
      <c r="AJ51" s="918">
        <f t="shared" si="46"/>
        <v>3.1015398756455648E-2</v>
      </c>
      <c r="AK51" s="918">
        <f t="shared" si="46"/>
        <v>3.0542269425562596E-2</v>
      </c>
      <c r="AL51" s="918">
        <f>AL49</f>
        <v>3.0334679878840642E-2</v>
      </c>
      <c r="AM51" s="918">
        <f t="shared" si="46"/>
        <v>2.9994558057691467E-2</v>
      </c>
      <c r="AN51" s="906">
        <f t="shared" si="46"/>
        <v>2.9803649988641601E-2</v>
      </c>
    </row>
    <row r="52" spans="2:40" x14ac:dyDescent="0.35">
      <c r="B52" s="341" t="s">
        <v>1706</v>
      </c>
      <c r="C52" s="961" t="s">
        <v>1696</v>
      </c>
      <c r="D52" s="921">
        <f>('Haver Pivoted'!GO80+1)^4-1</f>
        <v>4.0962242441666019E-2</v>
      </c>
      <c r="E52" s="922">
        <f>('Haver Pivoted'!GP80+1)^4-1</f>
        <v>1.51792670994777E-2</v>
      </c>
      <c r="F52" s="922">
        <f>('Haver Pivoted'!GQ80+1)^4-1</f>
        <v>4.2702169718882965E-2</v>
      </c>
      <c r="G52" s="922">
        <f>('Haver Pivoted'!GR80+1)^4-1</f>
        <v>1.755007684826615E-2</v>
      </c>
      <c r="H52" s="922">
        <f>('Haver Pivoted'!GS80+1)^4-1</f>
        <v>7.6166905113348449E-3</v>
      </c>
      <c r="I52" s="922">
        <f>('Haver Pivoted'!GT80+1)^4-1</f>
        <v>1.0120807804920418E-2</v>
      </c>
      <c r="J52" s="922">
        <f>('Haver Pivoted'!GU80+1)^4-1</f>
        <v>-1.4337681566159555E-2</v>
      </c>
      <c r="K52" s="922">
        <f>('Haver Pivoted'!GV80+1)^4-1</f>
        <v>3.9796166071044636E-2</v>
      </c>
      <c r="L52" s="922">
        <f>('Haver Pivoted'!GW80+1)^4-1</f>
        <v>2.0329576447674524E-2</v>
      </c>
      <c r="M52" s="922">
        <f>('Haver Pivoted'!GX80+1)^4-1</f>
        <v>5.9674403216350091E-2</v>
      </c>
      <c r="N52" s="922">
        <f>('Haver Pivoted'!GY80+1)^4-1</f>
        <v>9.5803328528480503E-2</v>
      </c>
      <c r="O52" s="922">
        <f>('Haver Pivoted'!GZ80+1)^4-1</f>
        <v>8.9244367976453631E-2</v>
      </c>
      <c r="P52" s="922">
        <f>('Haver Pivoted'!HA80+1)^4-1</f>
        <v>0.12456668920888303</v>
      </c>
      <c r="Q52" s="922">
        <f>('Haver Pivoted'!HB80+1)^4-1</f>
        <v>0.12433979312392585</v>
      </c>
      <c r="R52" s="922">
        <f>('Haver Pivoted'!HC80+1)^4-1</f>
        <v>0.13846732874655276</v>
      </c>
      <c r="S52" s="954">
        <f>('Haver Pivoted'!HD80+1)^4-1</f>
        <v>9.552027198699542E-2</v>
      </c>
      <c r="T52" s="954">
        <f>('Haver Pivoted'!HE80+1)^4-1</f>
        <v>5.5161829119105388E-2</v>
      </c>
      <c r="U52" s="954">
        <f>('Haver Pivoted'!HF80+1)^4-1</f>
        <v>5.0122233379745529E-2</v>
      </c>
      <c r="V52" s="954">
        <f>('Haver Pivoted'!HG80+1)^4-1</f>
        <v>2.1164173736800684E-3</v>
      </c>
      <c r="W52" s="954">
        <f>('Haver Pivoted'!HH80+1)^4-1</f>
        <v>5.8706332638096548E-3</v>
      </c>
      <c r="X52" s="954">
        <f>('Haver Pivoted'!HI80+1)^4-1</f>
        <v>1.2084409350409553E-2</v>
      </c>
      <c r="Y52" s="954">
        <f>('Haver Pivoted'!HJ80+1)^4-1</f>
        <v>2.380676700323181E-2</v>
      </c>
      <c r="Z52" s="954">
        <f>('Haver Pivoted'!HK80+1)^4-1</f>
        <v>3.3212249496941126E-3</v>
      </c>
      <c r="AA52" s="954">
        <f>('Haver Pivoted'!HL80+1)^4-1</f>
        <v>3.2150473499066079E-2</v>
      </c>
      <c r="AB52" s="954">
        <f>('Haver Pivoted'!HM80+1)^4-1</f>
        <v>1.2769263183438628E-2</v>
      </c>
      <c r="AC52" s="954">
        <f>('Haver Pivoted'!HN80+1)^4-1</f>
        <v>2.9707566513271333E-2</v>
      </c>
      <c r="AD52" s="922">
        <f t="shared" ref="AD52:AF52" si="47">AD51</f>
        <v>2.8606309371189242E-2</v>
      </c>
      <c r="AE52" s="922">
        <f t="shared" si="47"/>
        <v>3.1343868352262882E-2</v>
      </c>
      <c r="AF52" s="922">
        <f t="shared" si="47"/>
        <v>3.2394354805230341E-2</v>
      </c>
      <c r="AG52" s="922">
        <f t="shared" ref="AG52:AH52" si="48">AG51</f>
        <v>3.3164637629816696E-2</v>
      </c>
      <c r="AH52" s="922">
        <f t="shared" si="48"/>
        <v>3.1425713898589613E-2</v>
      </c>
      <c r="AI52" s="922">
        <f>AI51</f>
        <v>3.1013053419121528E-2</v>
      </c>
      <c r="AJ52" s="922">
        <f t="shared" ref="AJ52:AN52" si="49">AJ51</f>
        <v>3.1015398756455648E-2</v>
      </c>
      <c r="AK52" s="922">
        <f t="shared" si="49"/>
        <v>3.0542269425562596E-2</v>
      </c>
      <c r="AL52" s="922">
        <f t="shared" si="49"/>
        <v>3.0334679878840642E-2</v>
      </c>
      <c r="AM52" s="922">
        <f t="shared" si="49"/>
        <v>2.9994558057691467E-2</v>
      </c>
      <c r="AN52" s="923">
        <f t="shared" si="49"/>
        <v>2.9803649988641601E-2</v>
      </c>
    </row>
    <row r="53" spans="2:40" x14ac:dyDescent="0.35">
      <c r="B53" s="56"/>
      <c r="C53" s="937"/>
      <c r="D53" s="918"/>
      <c r="E53" s="918"/>
      <c r="F53" s="918"/>
      <c r="G53" s="918"/>
      <c r="H53" s="918"/>
      <c r="I53" s="918"/>
      <c r="J53" s="918"/>
      <c r="K53" s="918"/>
      <c r="L53" s="918"/>
      <c r="M53" s="918"/>
      <c r="N53" s="918"/>
      <c r="O53" s="918"/>
      <c r="P53" s="918"/>
      <c r="Q53" s="918"/>
      <c r="R53" s="918"/>
      <c r="X53" s="918"/>
      <c r="AB53" s="918"/>
      <c r="AC53" s="918"/>
      <c r="AD53" s="918"/>
      <c r="AE53" s="918"/>
      <c r="AF53" s="918"/>
    </row>
    <row r="54" spans="2:40" x14ac:dyDescent="0.35">
      <c r="B54" s="56"/>
      <c r="C54" s="937"/>
      <c r="D54" s="918"/>
      <c r="E54" s="918"/>
      <c r="F54" s="918"/>
      <c r="G54" s="918"/>
      <c r="H54" s="918"/>
      <c r="I54" s="918"/>
      <c r="J54" s="918"/>
      <c r="K54" s="918"/>
      <c r="L54" s="918"/>
      <c r="M54" s="918"/>
      <c r="N54" s="918"/>
      <c r="O54" s="918"/>
      <c r="P54" s="918"/>
      <c r="Q54" s="918"/>
      <c r="R54" s="918"/>
      <c r="X54" s="918"/>
      <c r="AB54" s="918"/>
      <c r="AC54" s="918"/>
      <c r="AD54" s="918"/>
      <c r="AE54" s="918"/>
      <c r="AF54" s="918"/>
    </row>
    <row r="55" spans="2:40" x14ac:dyDescent="0.35">
      <c r="B55" s="947" t="s">
        <v>1702</v>
      </c>
      <c r="C55" s="937"/>
      <c r="D55" s="918"/>
      <c r="E55" s="918"/>
      <c r="F55" s="918"/>
      <c r="G55" s="918"/>
      <c r="H55" s="918"/>
      <c r="I55" s="918"/>
      <c r="J55" s="918"/>
      <c r="K55" s="918"/>
      <c r="L55" s="918"/>
      <c r="M55" s="918"/>
      <c r="N55" s="918"/>
      <c r="O55" s="918"/>
      <c r="P55" s="918"/>
      <c r="Q55" s="918"/>
      <c r="R55" s="918"/>
      <c r="S55" s="291">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1.2612577059284544</v>
      </c>
      <c r="AE55">
        <f t="shared" si="50"/>
        <v>1.2687193400464576</v>
      </c>
      <c r="AF55">
        <f t="shared" si="50"/>
        <v>1.2756440111708705</v>
      </c>
      <c r="AG55">
        <f t="shared" si="50"/>
        <v>1.2824363112711821</v>
      </c>
      <c r="AH55">
        <f t="shared" si="50"/>
        <v>1.2889203286267932</v>
      </c>
      <c r="AI55">
        <f t="shared" si="50"/>
        <v>1.2954165738449763</v>
      </c>
      <c r="AJ55">
        <f t="shared" si="50"/>
        <v>1.3019768152051565</v>
      </c>
      <c r="AK55">
        <f t="shared" si="50"/>
        <v>1.3085277903149957</v>
      </c>
      <c r="AL55">
        <f t="shared" si="50"/>
        <v>1.3150805262700072</v>
      </c>
      <c r="AM55">
        <f t="shared" si="50"/>
        <v>1.3216355197672625</v>
      </c>
      <c r="AN55">
        <f t="shared" si="50"/>
        <v>1.3282153665337206</v>
      </c>
    </row>
    <row r="56" spans="2:40" x14ac:dyDescent="0.35">
      <c r="B56" s="67" t="s">
        <v>1703</v>
      </c>
      <c r="C56" s="937"/>
      <c r="D56" s="918"/>
      <c r="E56" s="918"/>
      <c r="F56" s="918"/>
      <c r="G56" s="918"/>
      <c r="H56" s="918"/>
      <c r="I56" s="918"/>
      <c r="J56" s="918"/>
      <c r="K56" s="918"/>
      <c r="L56" s="918"/>
      <c r="M56" s="918"/>
      <c r="N56" s="918"/>
      <c r="O56" s="918"/>
      <c r="P56" s="918"/>
      <c r="Q56" s="918"/>
      <c r="R56" s="918"/>
      <c r="S56" s="291">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1.2761181568610405</v>
      </c>
      <c r="AE56">
        <f t="shared" si="52"/>
        <v>1.2807916204545795</v>
      </c>
      <c r="AF56">
        <f t="shared" si="52"/>
        <v>1.2856056762107679</v>
      </c>
      <c r="AG56">
        <f t="shared" si="52"/>
        <v>1.2924657176665473</v>
      </c>
      <c r="AH56">
        <f t="shared" si="52"/>
        <v>1.2997677018196903</v>
      </c>
      <c r="AI56">
        <f t="shared" si="52"/>
        <v>1.3072618579382902</v>
      </c>
      <c r="AJ56">
        <f t="shared" si="52"/>
        <v>1.3150003910318067</v>
      </c>
      <c r="AK56">
        <f t="shared" si="52"/>
        <v>1.3223073912578516</v>
      </c>
      <c r="AL56">
        <f t="shared" si="52"/>
        <v>1.3295687503807432</v>
      </c>
      <c r="AM56">
        <f t="shared" si="52"/>
        <v>1.3370742921033285</v>
      </c>
      <c r="AN56">
        <f t="shared" si="52"/>
        <v>1.3447782104770662</v>
      </c>
    </row>
    <row r="57" spans="2:40" x14ac:dyDescent="0.35">
      <c r="B57" s="341" t="s">
        <v>1704</v>
      </c>
      <c r="C57" s="937"/>
      <c r="D57" s="918"/>
      <c r="E57" s="918"/>
      <c r="F57" s="918"/>
      <c r="G57" s="918"/>
      <c r="H57" s="918"/>
      <c r="I57" s="918"/>
      <c r="J57" s="918"/>
      <c r="K57" s="918"/>
      <c r="L57" s="918"/>
      <c r="M57" s="918"/>
      <c r="N57" s="918"/>
      <c r="O57" s="918"/>
      <c r="P57" s="918"/>
      <c r="Q57" s="918"/>
      <c r="R57" s="918"/>
      <c r="S57" s="291">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1.3120841226034503</v>
      </c>
      <c r="AE57">
        <f t="shared" si="53"/>
        <v>1.3222468860199601</v>
      </c>
      <c r="AF57">
        <f t="shared" si="53"/>
        <v>1.3328275408285306</v>
      </c>
      <c r="AG57">
        <f t="shared" si="53"/>
        <v>1.3437433915979489</v>
      </c>
      <c r="AH57">
        <f t="shared" si="53"/>
        <v>1.3541782372038538</v>
      </c>
      <c r="AI57">
        <f t="shared" si="53"/>
        <v>1.3645575949224003</v>
      </c>
      <c r="AJ57">
        <f t="shared" si="53"/>
        <v>1.3750172891779189</v>
      </c>
      <c r="AK57">
        <f t="shared" si="53"/>
        <v>1.3853981755663256</v>
      </c>
      <c r="AL57">
        <f t="shared" si="53"/>
        <v>1.3957871342033386</v>
      </c>
      <c r="AM57">
        <f t="shared" si="53"/>
        <v>1.4061379302469854</v>
      </c>
      <c r="AN57">
        <f t="shared" si="53"/>
        <v>1.4164998409374945</v>
      </c>
    </row>
    <row r="58" spans="2:40" x14ac:dyDescent="0.35">
      <c r="B58" s="56"/>
      <c r="C58" s="937"/>
      <c r="D58" s="918"/>
      <c r="E58" s="918"/>
      <c r="F58" s="918"/>
      <c r="G58" s="918"/>
      <c r="H58" s="918"/>
      <c r="I58" s="918"/>
      <c r="J58" s="918"/>
      <c r="K58" s="918"/>
      <c r="L58" s="918"/>
      <c r="M58" s="918"/>
      <c r="N58" s="918"/>
      <c r="O58" s="918"/>
      <c r="P58" s="918"/>
      <c r="Q58" s="918"/>
      <c r="R58" s="918"/>
      <c r="X58" s="918"/>
      <c r="AB58" s="918"/>
      <c r="AC58" s="918"/>
      <c r="AD58" s="918"/>
      <c r="AE58" s="918"/>
      <c r="AF58" s="918"/>
    </row>
    <row r="59" spans="2:40" x14ac:dyDescent="0.35">
      <c r="B59" s="56"/>
      <c r="C59" s="937"/>
      <c r="D59" s="918"/>
      <c r="E59" s="918"/>
      <c r="F59" s="918"/>
      <c r="G59" s="918"/>
      <c r="H59" s="918"/>
      <c r="I59" s="918"/>
      <c r="J59" s="918"/>
      <c r="K59" s="918"/>
      <c r="L59" s="918"/>
      <c r="M59" s="918"/>
      <c r="N59" s="918"/>
      <c r="O59" s="918"/>
      <c r="P59" s="918"/>
      <c r="Q59" s="918"/>
      <c r="R59" s="918"/>
      <c r="X59" s="918"/>
      <c r="AB59" s="918"/>
      <c r="AC59" s="918"/>
      <c r="AD59" s="918"/>
      <c r="AE59" s="918"/>
      <c r="AF59" s="918"/>
    </row>
    <row r="60" spans="2:40" x14ac:dyDescent="0.35">
      <c r="B60" s="56"/>
      <c r="C60" s="937"/>
      <c r="D60" s="918"/>
      <c r="E60" s="918"/>
      <c r="F60" s="918"/>
      <c r="G60" s="918"/>
      <c r="H60" s="918"/>
      <c r="I60" s="918"/>
      <c r="J60" s="918"/>
      <c r="K60" s="918"/>
      <c r="L60" s="918"/>
      <c r="M60" s="918"/>
      <c r="N60" s="918"/>
      <c r="O60" s="918"/>
      <c r="P60" s="918"/>
      <c r="Q60" s="918"/>
      <c r="R60" s="918"/>
      <c r="X60" s="918"/>
      <c r="AB60" s="918"/>
      <c r="AC60" s="918"/>
      <c r="AD60" s="918"/>
      <c r="AE60" s="918"/>
      <c r="AF60" s="918"/>
    </row>
    <row r="61" spans="2:40" x14ac:dyDescent="0.35">
      <c r="B61" s="56"/>
      <c r="C61" s="937"/>
      <c r="D61" s="918"/>
      <c r="E61" s="918"/>
      <c r="F61" s="918"/>
      <c r="G61" s="918"/>
      <c r="H61" s="918"/>
      <c r="I61" s="918"/>
      <c r="J61" s="918"/>
      <c r="K61" s="918"/>
      <c r="L61" s="918"/>
      <c r="M61" s="918"/>
      <c r="N61" s="918"/>
      <c r="O61" s="918"/>
      <c r="P61" s="918"/>
      <c r="Q61" s="918"/>
      <c r="R61" s="918"/>
      <c r="X61" s="918"/>
      <c r="Y61" s="918"/>
      <c r="Z61" s="918"/>
      <c r="AA61" s="918"/>
      <c r="AB61" s="918"/>
      <c r="AC61" s="918"/>
      <c r="AD61" s="918"/>
      <c r="AE61" s="918"/>
      <c r="AF61" s="918"/>
    </row>
    <row r="62" spans="2:40" ht="14.5" customHeight="1" x14ac:dyDescent="0.35">
      <c r="B62" s="1400" t="s">
        <v>1726</v>
      </c>
      <c r="C62" s="1400"/>
      <c r="D62" s="1400"/>
      <c r="E62" s="1400"/>
      <c r="F62" s="251"/>
      <c r="G62" s="251"/>
      <c r="H62" s="251"/>
      <c r="I62" s="251"/>
      <c r="J62" s="251"/>
      <c r="K62" s="251"/>
      <c r="L62" s="251"/>
      <c r="M62" s="251"/>
      <c r="N62" s="251"/>
      <c r="O62" s="251"/>
      <c r="P62" s="251"/>
      <c r="Q62" s="251"/>
      <c r="R62" s="251"/>
      <c r="S62" s="251"/>
      <c r="T62" s="251"/>
      <c r="U62" s="251"/>
      <c r="V62" s="251"/>
      <c r="W62" s="251"/>
      <c r="X62" s="251"/>
      <c r="Y62" s="251"/>
      <c r="Z62" s="251"/>
      <c r="AA62" s="251"/>
      <c r="AB62" s="251"/>
      <c r="AC62" s="251"/>
    </row>
    <row r="63" spans="2:40" ht="30" customHeight="1" x14ac:dyDescent="0.35">
      <c r="B63" s="930" t="s">
        <v>1969</v>
      </c>
      <c r="C63" s="953"/>
      <c r="D63" s="293">
        <v>2018</v>
      </c>
      <c r="E63" s="1264">
        <v>2019</v>
      </c>
      <c r="F63" s="1265"/>
      <c r="G63" s="1265"/>
      <c r="H63" s="1266"/>
      <c r="I63" s="1264">
        <v>2020</v>
      </c>
      <c r="J63" s="1265"/>
      <c r="K63" s="1265"/>
      <c r="L63" s="1265"/>
      <c r="M63" s="1264">
        <v>2021</v>
      </c>
      <c r="N63" s="1265"/>
      <c r="O63" s="1265"/>
      <c r="P63" s="1265"/>
      <c r="Q63" s="1360">
        <v>2022</v>
      </c>
      <c r="R63" s="1361"/>
      <c r="S63" s="299"/>
      <c r="T63" s="306"/>
      <c r="U63" s="1264">
        <v>2023</v>
      </c>
      <c r="V63" s="1265"/>
      <c r="W63" s="1265"/>
      <c r="X63" s="1266"/>
      <c r="Y63" s="453"/>
      <c r="Z63" s="299">
        <v>2024</v>
      </c>
      <c r="AA63" s="299"/>
      <c r="AB63" s="332"/>
      <c r="AC63" s="1270">
        <v>2025</v>
      </c>
      <c r="AD63" s="1271"/>
      <c r="AE63" s="1271"/>
      <c r="AF63" s="1272"/>
      <c r="AG63" s="1270">
        <v>2026</v>
      </c>
      <c r="AH63" s="1352"/>
      <c r="AI63" s="1352"/>
      <c r="AJ63" s="1272"/>
      <c r="AK63" s="1270">
        <v>2027</v>
      </c>
      <c r="AL63" s="1352"/>
      <c r="AM63" s="1352"/>
      <c r="AN63" s="1272"/>
    </row>
    <row r="64" spans="2:40" x14ac:dyDescent="0.35">
      <c r="B64" s="916"/>
      <c r="C64" s="245"/>
      <c r="D64" s="282" t="s">
        <v>281</v>
      </c>
      <c r="E64" s="282" t="s">
        <v>282</v>
      </c>
      <c r="F64" s="283" t="s">
        <v>283</v>
      </c>
      <c r="G64" s="283" t="s">
        <v>238</v>
      </c>
      <c r="H64" s="281" t="s">
        <v>281</v>
      </c>
      <c r="I64" s="283" t="s">
        <v>282</v>
      </c>
      <c r="J64" s="283" t="s">
        <v>283</v>
      </c>
      <c r="K64" s="283" t="s">
        <v>238</v>
      </c>
      <c r="L64" s="283" t="s">
        <v>281</v>
      </c>
      <c r="M64" s="282" t="s">
        <v>282</v>
      </c>
      <c r="N64" s="283" t="s">
        <v>283</v>
      </c>
      <c r="O64" s="283" t="s">
        <v>238</v>
      </c>
      <c r="P64" s="283" t="s">
        <v>281</v>
      </c>
      <c r="Q64" s="282" t="s">
        <v>282</v>
      </c>
      <c r="R64" s="283" t="s">
        <v>283</v>
      </c>
      <c r="S64" s="283" t="s">
        <v>238</v>
      </c>
      <c r="T64" s="281" t="s">
        <v>281</v>
      </c>
      <c r="U64" s="282" t="s">
        <v>282</v>
      </c>
      <c r="V64" s="283" t="s">
        <v>283</v>
      </c>
      <c r="W64" s="283" t="s">
        <v>238</v>
      </c>
      <c r="X64" s="281" t="s">
        <v>281</v>
      </c>
      <c r="Y64" s="282" t="s">
        <v>282</v>
      </c>
      <c r="Z64" s="288" t="s">
        <v>283</v>
      </c>
      <c r="AA64" s="283" t="s">
        <v>238</v>
      </c>
      <c r="AB64" s="298" t="s">
        <v>281</v>
      </c>
      <c r="AC64" s="296" t="s">
        <v>282</v>
      </c>
      <c r="AD64" s="269" t="s">
        <v>283</v>
      </c>
      <c r="AE64" s="269" t="s">
        <v>238</v>
      </c>
      <c r="AF64" s="298" t="s">
        <v>281</v>
      </c>
      <c r="AG64" s="296" t="s">
        <v>282</v>
      </c>
      <c r="AH64" s="267" t="s">
        <v>283</v>
      </c>
      <c r="AI64" s="269" t="s">
        <v>238</v>
      </c>
      <c r="AJ64" s="298" t="s">
        <v>281</v>
      </c>
      <c r="AK64" s="296" t="s">
        <v>282</v>
      </c>
      <c r="AL64" s="267" t="s">
        <v>283</v>
      </c>
      <c r="AM64" s="269" t="s">
        <v>238</v>
      </c>
      <c r="AN64" s="298" t="s">
        <v>281</v>
      </c>
    </row>
    <row r="65" spans="2:72" ht="28.5" customHeight="1" x14ac:dyDescent="0.35">
      <c r="B65" s="924" t="s">
        <v>1914</v>
      </c>
      <c r="C65" s="56" t="s">
        <v>1708</v>
      </c>
      <c r="D65" s="229"/>
      <c r="E65" s="229"/>
      <c r="F65" s="229"/>
      <c r="G65" s="229"/>
      <c r="H65" s="229"/>
      <c r="I65" s="229"/>
      <c r="J65" s="229"/>
      <c r="K65" s="229"/>
      <c r="L65" s="229"/>
      <c r="M65" s="747">
        <v>15217.7</v>
      </c>
      <c r="N65" s="747">
        <v>15950.9</v>
      </c>
      <c r="O65" s="747">
        <v>16285.1</v>
      </c>
      <c r="P65" s="747">
        <v>16718.2</v>
      </c>
      <c r="Q65" s="747">
        <v>17175.099999999999</v>
      </c>
      <c r="R65" s="747">
        <v>17603.8</v>
      </c>
      <c r="S65" s="913">
        <v>17876.2</v>
      </c>
      <c r="T65" s="913">
        <v>18108.3</v>
      </c>
      <c r="U65" s="913">
        <v>18506.2</v>
      </c>
      <c r="V65" s="913">
        <v>18685.7</v>
      </c>
      <c r="W65" s="913">
        <v>18929</v>
      </c>
      <c r="X65" s="913">
        <v>19170.2</v>
      </c>
      <c r="Y65" s="913">
        <v>19424.8</v>
      </c>
      <c r="Z65" s="913">
        <v>19682.7</v>
      </c>
      <c r="AA65" s="913">
        <v>19928.2</v>
      </c>
      <c r="AB65" s="913">
        <v>20185.7</v>
      </c>
      <c r="AC65" s="913">
        <v>20403.099999999999</v>
      </c>
      <c r="AD65" s="913">
        <v>20642.2</v>
      </c>
      <c r="AE65" s="913">
        <v>20846.8</v>
      </c>
      <c r="AF65" s="913">
        <v>21044.3</v>
      </c>
      <c r="AG65" s="913">
        <v>21224.400000000001</v>
      </c>
      <c r="AH65" s="908">
        <v>21419</v>
      </c>
      <c r="AI65" s="908">
        <v>21589.1</v>
      </c>
      <c r="AJ65" s="908">
        <v>21781.8</v>
      </c>
      <c r="AK65" s="908">
        <v>21986.799999999999</v>
      </c>
      <c r="AL65" s="908">
        <v>22169.7</v>
      </c>
      <c r="AM65" s="908">
        <v>22353.1</v>
      </c>
      <c r="AN65" s="908">
        <v>22549.7</v>
      </c>
      <c r="AO65" s="908">
        <v>22756.3</v>
      </c>
      <c r="AP65" s="908">
        <v>22960.5</v>
      </c>
      <c r="AQ65" s="908">
        <v>23175.7</v>
      </c>
      <c r="AR65" s="908">
        <v>23394.799999999999</v>
      </c>
      <c r="AS65" s="908">
        <v>23623.8</v>
      </c>
      <c r="AT65" s="908">
        <v>23858.3</v>
      </c>
      <c r="AU65" s="908">
        <v>24089.9</v>
      </c>
      <c r="AV65" s="908">
        <v>24324.3</v>
      </c>
      <c r="AW65" s="908">
        <v>24567.4</v>
      </c>
      <c r="AX65" s="908">
        <v>24824.5</v>
      </c>
      <c r="AY65" s="908">
        <v>25079.200000000001</v>
      </c>
      <c r="AZ65" s="908">
        <v>25340.7</v>
      </c>
      <c r="BA65" s="908">
        <v>25603</v>
      </c>
      <c r="BB65" s="908">
        <v>25871.9</v>
      </c>
      <c r="BC65" s="908">
        <v>26140.7</v>
      </c>
      <c r="BD65" s="908">
        <v>26411.5</v>
      </c>
      <c r="BE65" s="908">
        <v>26684.9</v>
      </c>
      <c r="BF65" s="908">
        <v>26961.599999999999</v>
      </c>
      <c r="BG65" s="908">
        <v>27241.4</v>
      </c>
      <c r="BH65" s="908">
        <v>27524.400000000001</v>
      </c>
      <c r="BI65" s="908">
        <v>27809.7</v>
      </c>
      <c r="BJ65" s="908">
        <v>28100.3</v>
      </c>
      <c r="BK65" s="908">
        <v>28394.3</v>
      </c>
      <c r="BL65" s="908">
        <v>28690.400000000001</v>
      </c>
      <c r="BM65" s="908">
        <v>28988.400000000001</v>
      </c>
      <c r="BN65" s="908">
        <v>29289</v>
      </c>
      <c r="BO65" s="908">
        <v>29593.3</v>
      </c>
      <c r="BP65" s="908">
        <v>29899.7</v>
      </c>
      <c r="BQ65">
        <v>30207</v>
      </c>
      <c r="BR65">
        <v>30516</v>
      </c>
      <c r="BS65">
        <v>30827</v>
      </c>
      <c r="BT65">
        <v>31138.6</v>
      </c>
    </row>
    <row r="66" spans="2:72" ht="26.25" customHeight="1" x14ac:dyDescent="0.35">
      <c r="B66" s="924" t="s">
        <v>1915</v>
      </c>
      <c r="C66" s="56" t="s">
        <v>1709</v>
      </c>
      <c r="D66" s="67"/>
      <c r="E66" s="56"/>
      <c r="F66" s="56"/>
      <c r="G66" s="56"/>
      <c r="H66" s="56"/>
      <c r="I66" s="56"/>
      <c r="J66" s="56"/>
      <c r="K66" s="56"/>
      <c r="L66" s="56"/>
      <c r="M66" s="908">
        <v>1609.9</v>
      </c>
      <c r="N66" s="908">
        <v>1588.5</v>
      </c>
      <c r="O66" s="908">
        <v>1576.4</v>
      </c>
      <c r="P66" s="908">
        <v>1602.5</v>
      </c>
      <c r="Q66" s="908">
        <v>1606.5</v>
      </c>
      <c r="R66" s="908">
        <v>1622.1</v>
      </c>
      <c r="S66" s="913">
        <v>1641.4</v>
      </c>
      <c r="T66" s="913">
        <v>1694.2</v>
      </c>
      <c r="U66" s="913">
        <v>1731.6</v>
      </c>
      <c r="V66" s="913">
        <v>1741.8</v>
      </c>
      <c r="W66" s="913">
        <v>1780.9</v>
      </c>
      <c r="X66" s="913">
        <v>1796.2</v>
      </c>
      <c r="Y66" s="913">
        <v>1810.3</v>
      </c>
      <c r="Z66" s="913">
        <v>1842.2</v>
      </c>
      <c r="AA66" s="913">
        <v>1893.4</v>
      </c>
      <c r="AB66" s="913">
        <v>1899.3</v>
      </c>
      <c r="AC66" s="913">
        <v>1905.1</v>
      </c>
      <c r="AD66" s="913">
        <v>1910.7</v>
      </c>
      <c r="AE66" s="913">
        <v>1916.3</v>
      </c>
      <c r="AF66" s="913">
        <v>1922.1</v>
      </c>
      <c r="AG66" s="925">
        <v>1932.1</v>
      </c>
      <c r="AH66" s="925">
        <v>1942.5</v>
      </c>
      <c r="AI66" s="925">
        <v>1953.7</v>
      </c>
      <c r="AJ66" s="925">
        <v>1963.7</v>
      </c>
      <c r="AK66" s="925">
        <v>1973.3</v>
      </c>
      <c r="AL66" s="925">
        <v>1984.4</v>
      </c>
      <c r="AM66" s="925">
        <v>1996</v>
      </c>
      <c r="AN66" s="925">
        <v>2006.3</v>
      </c>
      <c r="AO66" s="925">
        <v>2016.1</v>
      </c>
      <c r="AP66" s="908">
        <v>2026.1</v>
      </c>
      <c r="AQ66" s="908">
        <v>2036.2</v>
      </c>
      <c r="AR66" s="908">
        <v>2047.6</v>
      </c>
      <c r="AS66" s="908">
        <v>2057.4</v>
      </c>
      <c r="AT66" s="908">
        <v>2068.8000000000002</v>
      </c>
      <c r="AU66" s="908">
        <v>2080.3000000000002</v>
      </c>
      <c r="AV66" s="908">
        <v>2091.8000000000002</v>
      </c>
      <c r="AW66" s="908">
        <v>2103.1999999999998</v>
      </c>
      <c r="AX66" s="908">
        <v>2114.6999999999998</v>
      </c>
      <c r="AY66" s="908">
        <v>2124.6999999999998</v>
      </c>
      <c r="AZ66" s="908">
        <v>2134.8000000000002</v>
      </c>
      <c r="BA66" s="908">
        <v>2144.9</v>
      </c>
      <c r="BB66" s="908">
        <v>2156.6</v>
      </c>
      <c r="BC66" s="908">
        <v>2169.1</v>
      </c>
      <c r="BD66" s="908">
        <v>2181.9</v>
      </c>
      <c r="BE66" s="908">
        <v>2194.8000000000002</v>
      </c>
      <c r="BF66" s="908">
        <v>2207.5</v>
      </c>
      <c r="BG66" s="908">
        <v>2221.3000000000002</v>
      </c>
      <c r="BH66" s="908">
        <v>2235.5</v>
      </c>
      <c r="BI66" s="908">
        <v>2249.3000000000002</v>
      </c>
      <c r="BJ66" s="908">
        <v>2263.1999999999998</v>
      </c>
      <c r="BK66" s="908">
        <v>2277.4</v>
      </c>
      <c r="BL66" s="908">
        <v>2290.6999999999998</v>
      </c>
      <c r="BM66" s="908">
        <v>2304.1999999999998</v>
      </c>
      <c r="BN66" s="908">
        <v>2317.3000000000002</v>
      </c>
      <c r="BO66" s="908">
        <v>2330.5</v>
      </c>
      <c r="BP66" s="908">
        <v>2343.6</v>
      </c>
      <c r="BQ66">
        <v>2356.9</v>
      </c>
      <c r="BR66">
        <v>2370.1999999999998</v>
      </c>
      <c r="BS66">
        <v>2383.6999999999998</v>
      </c>
      <c r="BT66">
        <v>2397.6</v>
      </c>
    </row>
    <row r="67" spans="2:72" ht="26.25" customHeight="1" x14ac:dyDescent="0.35">
      <c r="B67" s="924" t="s">
        <v>1916</v>
      </c>
      <c r="C67" s="56" t="s">
        <v>1709</v>
      </c>
      <c r="D67" s="67"/>
      <c r="E67" s="56"/>
      <c r="F67" s="56"/>
      <c r="G67" s="56"/>
      <c r="H67" s="56"/>
      <c r="I67" s="56"/>
      <c r="J67" s="56"/>
      <c r="K67" s="56"/>
      <c r="L67" s="56"/>
      <c r="M67" s="908">
        <v>2533.9</v>
      </c>
      <c r="N67" s="908">
        <v>2571.6999999999998</v>
      </c>
      <c r="O67" s="908">
        <v>2625.1</v>
      </c>
      <c r="P67" s="908">
        <v>2664.2</v>
      </c>
      <c r="Q67" s="908">
        <v>2726.1</v>
      </c>
      <c r="R67" s="908">
        <v>2815.5</v>
      </c>
      <c r="S67" s="913">
        <v>2838.7</v>
      </c>
      <c r="T67" s="913">
        <v>2870.6</v>
      </c>
      <c r="U67" s="913">
        <v>2893</v>
      </c>
      <c r="V67" s="913">
        <v>2904.1</v>
      </c>
      <c r="W67" s="913">
        <v>2975.5</v>
      </c>
      <c r="X67" s="913">
        <v>3019</v>
      </c>
      <c r="Y67" s="913">
        <v>3070.7</v>
      </c>
      <c r="Z67" s="913">
        <v>3100.9</v>
      </c>
      <c r="AA67" s="913">
        <v>3139.2</v>
      </c>
      <c r="AB67" s="913">
        <v>3171.3</v>
      </c>
      <c r="AC67" s="913">
        <v>3201.4</v>
      </c>
      <c r="AD67" s="913">
        <v>3227.6</v>
      </c>
      <c r="AE67" s="913">
        <v>3257.1</v>
      </c>
      <c r="AF67" s="913">
        <v>3287.7</v>
      </c>
      <c r="AG67" s="747">
        <v>3319.2</v>
      </c>
      <c r="AH67" s="747">
        <v>3348.5</v>
      </c>
      <c r="AI67" s="747">
        <v>3378.4</v>
      </c>
      <c r="AJ67" s="747">
        <v>3407.6</v>
      </c>
      <c r="AK67" s="747">
        <v>3436.1</v>
      </c>
      <c r="AL67" s="747">
        <v>3465.5</v>
      </c>
      <c r="AM67" s="747">
        <v>3495</v>
      </c>
      <c r="AN67" s="747">
        <v>3524.3</v>
      </c>
      <c r="AO67" s="747">
        <v>3553.2</v>
      </c>
      <c r="AP67" s="908">
        <v>3582.3</v>
      </c>
      <c r="AQ67" s="908">
        <v>3611.3</v>
      </c>
      <c r="AR67" s="908">
        <v>3640.4</v>
      </c>
      <c r="AS67" s="908">
        <v>3669.2</v>
      </c>
      <c r="AT67" s="908">
        <v>3698.1</v>
      </c>
      <c r="AU67" s="908">
        <v>3727.3</v>
      </c>
      <c r="AV67" s="908">
        <v>3756.6</v>
      </c>
      <c r="AW67" s="908">
        <v>3785.8</v>
      </c>
      <c r="AX67" s="908">
        <v>3815.2</v>
      </c>
      <c r="AY67" s="908">
        <v>3845</v>
      </c>
      <c r="AZ67" s="908">
        <v>3874.9</v>
      </c>
      <c r="BA67" s="908">
        <v>3905.2</v>
      </c>
      <c r="BB67" s="908">
        <v>3935.8</v>
      </c>
      <c r="BC67" s="908">
        <v>3966.6</v>
      </c>
      <c r="BD67" s="908">
        <v>3997.8</v>
      </c>
      <c r="BE67" s="908">
        <v>4029.2</v>
      </c>
      <c r="BF67" s="908">
        <v>4060.9</v>
      </c>
      <c r="BG67" s="908">
        <v>4092.8</v>
      </c>
      <c r="BH67" s="908">
        <v>4125</v>
      </c>
      <c r="BI67" s="908">
        <v>4157.3999999999996</v>
      </c>
      <c r="BJ67" s="908">
        <v>4190</v>
      </c>
      <c r="BK67" s="908">
        <v>4222.8</v>
      </c>
      <c r="BL67" s="908">
        <v>4255.8</v>
      </c>
      <c r="BM67" s="908">
        <v>4289</v>
      </c>
      <c r="BN67" s="908">
        <v>4322.3</v>
      </c>
      <c r="BO67" s="908">
        <v>4355.7</v>
      </c>
      <c r="BP67" s="908">
        <v>4389</v>
      </c>
      <c r="BQ67">
        <v>4422.3999999999996</v>
      </c>
      <c r="BR67">
        <v>4456</v>
      </c>
      <c r="BS67">
        <v>4489.8</v>
      </c>
      <c r="BT67">
        <v>4524</v>
      </c>
    </row>
    <row r="68" spans="2:72" ht="26.25" customHeight="1" x14ac:dyDescent="0.35">
      <c r="B68" s="924" t="s">
        <v>1917</v>
      </c>
      <c r="C68" s="56" t="s">
        <v>1710</v>
      </c>
      <c r="D68" s="67"/>
      <c r="E68" s="56"/>
      <c r="F68" s="56"/>
      <c r="G68" s="56"/>
      <c r="H68" s="56"/>
      <c r="I68" s="56"/>
      <c r="J68" s="56"/>
      <c r="K68" s="56"/>
      <c r="L68" s="56"/>
      <c r="M68" s="908">
        <v>14282.6</v>
      </c>
      <c r="N68" s="908">
        <v>14745.6</v>
      </c>
      <c r="O68" s="908">
        <v>14848.8</v>
      </c>
      <c r="P68" s="908">
        <v>14995.6</v>
      </c>
      <c r="Q68" s="908">
        <v>15123.4</v>
      </c>
      <c r="R68" s="908">
        <v>15219.9</v>
      </c>
      <c r="S68" s="913">
        <v>15277.6</v>
      </c>
      <c r="T68" s="913">
        <v>15324</v>
      </c>
      <c r="U68" s="913">
        <v>15510.2</v>
      </c>
      <c r="V68" s="913">
        <v>15548.5</v>
      </c>
      <c r="W68" s="913">
        <v>15646.7</v>
      </c>
      <c r="X68" s="913">
        <v>15781.4</v>
      </c>
      <c r="Y68" s="913">
        <v>15856.9</v>
      </c>
      <c r="Z68" s="913">
        <v>15967.3</v>
      </c>
      <c r="AA68" s="913">
        <v>16106.4</v>
      </c>
      <c r="AB68" s="913">
        <v>16216.1</v>
      </c>
      <c r="AC68" s="913">
        <v>16297.6</v>
      </c>
      <c r="AD68" s="913">
        <v>16401.2</v>
      </c>
      <c r="AE68" s="913">
        <v>16474.400000000001</v>
      </c>
      <c r="AF68" s="913">
        <v>16540.2</v>
      </c>
      <c r="AG68" s="747">
        <v>16593.400000000001</v>
      </c>
      <c r="AH68" s="747">
        <v>16661.3</v>
      </c>
      <c r="AI68" s="747">
        <v>16709.400000000001</v>
      </c>
      <c r="AJ68" s="747">
        <v>16773.599999999999</v>
      </c>
      <c r="AK68" s="747">
        <v>16846.7</v>
      </c>
      <c r="AL68" s="747">
        <v>16902.2</v>
      </c>
      <c r="AM68" s="747">
        <v>16957.5</v>
      </c>
      <c r="AN68" s="747">
        <v>17021.900000000001</v>
      </c>
      <c r="AO68" s="747">
        <v>17093.099999999999</v>
      </c>
      <c r="AP68" s="908">
        <v>17161.400000000001</v>
      </c>
      <c r="AQ68" s="908">
        <v>17237</v>
      </c>
      <c r="AR68" s="908">
        <v>17314.599999999999</v>
      </c>
      <c r="AS68" s="908">
        <v>17398.5</v>
      </c>
      <c r="AT68" s="908">
        <v>17485.3</v>
      </c>
      <c r="AU68" s="908">
        <v>17568.900000000001</v>
      </c>
      <c r="AV68" s="908">
        <v>17653.3</v>
      </c>
      <c r="AW68" s="908">
        <v>17742.900000000001</v>
      </c>
      <c r="AX68" s="908">
        <v>17841.3</v>
      </c>
      <c r="AY68" s="908">
        <v>17936.8</v>
      </c>
      <c r="AZ68" s="908">
        <v>18035.7</v>
      </c>
      <c r="BA68" s="908">
        <v>18133.900000000001</v>
      </c>
      <c r="BB68" s="908">
        <v>18235.5</v>
      </c>
      <c r="BC68" s="908">
        <v>18335.599999999999</v>
      </c>
      <c r="BD68" s="908">
        <v>18435.7</v>
      </c>
      <c r="BE68" s="908">
        <v>18536.2</v>
      </c>
      <c r="BF68" s="908">
        <v>18637.7</v>
      </c>
      <c r="BG68" s="908">
        <v>18739.900000000001</v>
      </c>
      <c r="BH68" s="908">
        <v>18842.900000000001</v>
      </c>
      <c r="BI68" s="908">
        <v>18946</v>
      </c>
      <c r="BJ68" s="908">
        <v>19051.3</v>
      </c>
      <c r="BK68" s="908">
        <v>19157.5</v>
      </c>
      <c r="BL68" s="908">
        <v>19263.7</v>
      </c>
      <c r="BM68" s="908">
        <v>19369.599999999999</v>
      </c>
      <c r="BN68" s="908">
        <v>19475.8</v>
      </c>
      <c r="BO68" s="908">
        <v>19583</v>
      </c>
      <c r="BP68" s="908">
        <v>19690.099999999999</v>
      </c>
      <c r="BQ68">
        <v>19796.2</v>
      </c>
      <c r="BR68">
        <v>19902.099999999999</v>
      </c>
      <c r="BS68">
        <v>20007.8</v>
      </c>
      <c r="BT68">
        <v>20112.400000000001</v>
      </c>
    </row>
    <row r="69" spans="2:72" ht="26.25" customHeight="1" x14ac:dyDescent="0.35">
      <c r="B69" s="924" t="s">
        <v>1918</v>
      </c>
      <c r="C69" s="56" t="s">
        <v>1711</v>
      </c>
      <c r="D69" s="67"/>
      <c r="E69" s="56"/>
      <c r="F69" s="56"/>
      <c r="G69" s="56"/>
      <c r="H69" s="56"/>
      <c r="I69" s="56"/>
      <c r="J69" s="56"/>
      <c r="K69" s="56"/>
      <c r="L69" s="56"/>
      <c r="M69" s="908">
        <v>1499.1</v>
      </c>
      <c r="N69" s="908">
        <v>1464.8</v>
      </c>
      <c r="O69" s="908">
        <v>1439.1</v>
      </c>
      <c r="P69" s="908">
        <v>1446.5</v>
      </c>
      <c r="Q69" s="908">
        <v>1426.3</v>
      </c>
      <c r="R69" s="908">
        <v>1414.4</v>
      </c>
      <c r="S69" s="913">
        <v>1412.9</v>
      </c>
      <c r="T69" s="913">
        <v>1443.6</v>
      </c>
      <c r="U69" s="913">
        <v>1460</v>
      </c>
      <c r="V69" s="913">
        <v>1456</v>
      </c>
      <c r="W69" s="913">
        <v>1474.8</v>
      </c>
      <c r="X69" s="913">
        <v>1473.5</v>
      </c>
      <c r="Y69" s="913">
        <v>1472.2</v>
      </c>
      <c r="Z69" s="913">
        <v>1487.8</v>
      </c>
      <c r="AA69" s="913">
        <v>1519.9</v>
      </c>
      <c r="AB69" s="913">
        <v>1513.2</v>
      </c>
      <c r="AC69" s="913">
        <v>1510.8</v>
      </c>
      <c r="AD69" s="913">
        <v>1509.5</v>
      </c>
      <c r="AE69" s="913">
        <v>1508.4</v>
      </c>
      <c r="AF69" s="913">
        <v>1507.3</v>
      </c>
      <c r="AG69" s="747">
        <v>1507.1</v>
      </c>
      <c r="AH69" s="747">
        <v>1506.7</v>
      </c>
      <c r="AI69" s="747">
        <v>1506.7</v>
      </c>
      <c r="AJ69" s="747">
        <v>1505.5</v>
      </c>
      <c r="AK69" s="747">
        <v>1504.5</v>
      </c>
      <c r="AL69" s="747">
        <v>1504.7</v>
      </c>
      <c r="AM69" s="747">
        <v>1505</v>
      </c>
      <c r="AN69" s="747">
        <v>1504.1</v>
      </c>
      <c r="AO69" s="747">
        <v>1503.1</v>
      </c>
      <c r="AP69" s="908">
        <v>1502.1</v>
      </c>
      <c r="AQ69" s="908">
        <v>1501.3</v>
      </c>
      <c r="AR69" s="908">
        <v>1501.5</v>
      </c>
      <c r="AS69" s="908">
        <v>1500.5</v>
      </c>
      <c r="AT69" s="908">
        <v>1500.8</v>
      </c>
      <c r="AU69" s="908">
        <v>1501.1</v>
      </c>
      <c r="AV69" s="908">
        <v>1501.5</v>
      </c>
      <c r="AW69" s="908">
        <v>1501.8</v>
      </c>
      <c r="AX69" s="908">
        <v>1502.2</v>
      </c>
      <c r="AY69" s="908">
        <v>1501.5</v>
      </c>
      <c r="AZ69" s="908">
        <v>1500.9</v>
      </c>
      <c r="BA69" s="908">
        <v>1500.2</v>
      </c>
      <c r="BB69" s="908">
        <v>1500.7</v>
      </c>
      <c r="BC69" s="908">
        <v>1501.7</v>
      </c>
      <c r="BD69" s="908">
        <v>1502.7</v>
      </c>
      <c r="BE69" s="908">
        <v>1504</v>
      </c>
      <c r="BF69" s="908">
        <v>1505</v>
      </c>
      <c r="BG69" s="908">
        <v>1506.6</v>
      </c>
      <c r="BH69" s="908">
        <v>1508.1</v>
      </c>
      <c r="BI69" s="908">
        <v>1509.4</v>
      </c>
      <c r="BJ69" s="908">
        <v>1510.6</v>
      </c>
      <c r="BK69" s="908">
        <v>1512</v>
      </c>
      <c r="BL69" s="908">
        <v>1513.2</v>
      </c>
      <c r="BM69" s="908">
        <v>1514.3</v>
      </c>
      <c r="BN69" s="908">
        <v>1515.2</v>
      </c>
      <c r="BO69" s="908">
        <v>1516.2</v>
      </c>
      <c r="BP69" s="908">
        <v>1517</v>
      </c>
      <c r="BQ69">
        <v>1517.9</v>
      </c>
      <c r="BR69">
        <v>1518.8</v>
      </c>
      <c r="BS69">
        <v>1519.7</v>
      </c>
      <c r="BT69">
        <v>1520.8</v>
      </c>
    </row>
    <row r="70" spans="2:72" ht="26.15" customHeight="1" x14ac:dyDescent="0.35">
      <c r="B70" s="924" t="s">
        <v>1919</v>
      </c>
      <c r="C70" s="35" t="s">
        <v>1712</v>
      </c>
      <c r="D70" s="341"/>
      <c r="E70" s="35"/>
      <c r="F70" s="35"/>
      <c r="G70" s="35"/>
      <c r="H70" s="35"/>
      <c r="I70" s="35"/>
      <c r="J70" s="35"/>
      <c r="K70" s="35"/>
      <c r="L70" s="35"/>
      <c r="M70" s="915">
        <v>2247</v>
      </c>
      <c r="N70" s="915">
        <v>2239.1999999999998</v>
      </c>
      <c r="O70" s="915">
        <v>2250.1</v>
      </c>
      <c r="P70" s="915">
        <v>2240.9</v>
      </c>
      <c r="Q70" s="915">
        <v>2235.3000000000002</v>
      </c>
      <c r="R70" s="915">
        <v>2232.9</v>
      </c>
      <c r="S70" s="914">
        <v>2248</v>
      </c>
      <c r="T70" s="914">
        <v>2266.9</v>
      </c>
      <c r="U70" s="914">
        <v>2296.6</v>
      </c>
      <c r="V70" s="914">
        <v>2327.1</v>
      </c>
      <c r="W70" s="914">
        <v>2360.8000000000002</v>
      </c>
      <c r="X70" s="914">
        <v>2395.9</v>
      </c>
      <c r="Y70" s="914">
        <v>2414</v>
      </c>
      <c r="Z70" s="913">
        <v>2427.9</v>
      </c>
      <c r="AA70" s="913">
        <v>2443.9</v>
      </c>
      <c r="AB70" s="913">
        <v>2449.9</v>
      </c>
      <c r="AC70" s="913">
        <v>2454.5</v>
      </c>
      <c r="AD70" s="913">
        <v>2457.1999999999998</v>
      </c>
      <c r="AE70" s="913">
        <v>2460.6</v>
      </c>
      <c r="AF70" s="913">
        <v>2464</v>
      </c>
      <c r="AG70" s="908">
        <v>2467.4</v>
      </c>
      <c r="AH70" s="908">
        <v>2470</v>
      </c>
      <c r="AI70" s="908">
        <v>2473.1</v>
      </c>
      <c r="AJ70" s="908">
        <v>2475.5</v>
      </c>
      <c r="AK70" s="747">
        <v>2477.5</v>
      </c>
      <c r="AL70" s="747">
        <v>2480.1</v>
      </c>
      <c r="AM70" s="747">
        <v>2482.8000000000002</v>
      </c>
      <c r="AN70" s="747">
        <v>2485.3000000000002</v>
      </c>
      <c r="AO70" s="747">
        <v>2487.4</v>
      </c>
      <c r="AP70" s="908">
        <v>2489.6</v>
      </c>
      <c r="AQ70" s="908">
        <v>2491.4</v>
      </c>
      <c r="AR70" s="908">
        <v>2493.1999999999998</v>
      </c>
      <c r="AS70" s="908">
        <v>2494.8000000000002</v>
      </c>
      <c r="AT70" s="908">
        <v>2496.1999999999998</v>
      </c>
      <c r="AU70" s="908">
        <v>2497.8000000000002</v>
      </c>
      <c r="AV70" s="908">
        <v>2499.3000000000002</v>
      </c>
      <c r="AW70" s="908">
        <v>2500.6</v>
      </c>
      <c r="AX70" s="908">
        <v>2501.9</v>
      </c>
      <c r="AY70" s="908">
        <v>2503.3000000000002</v>
      </c>
      <c r="AZ70" s="908">
        <v>2504.6999999999998</v>
      </c>
      <c r="BA70" s="908">
        <v>2506.3000000000002</v>
      </c>
      <c r="BB70" s="908">
        <v>2507.9</v>
      </c>
      <c r="BC70" s="908">
        <v>2509.6</v>
      </c>
      <c r="BD70" s="908">
        <v>2511.1999999999998</v>
      </c>
      <c r="BE70" s="908">
        <v>2512.8000000000002</v>
      </c>
      <c r="BF70" s="908">
        <v>2514.4</v>
      </c>
      <c r="BG70" s="908">
        <v>2515.9</v>
      </c>
      <c r="BH70" s="908">
        <v>2517.5</v>
      </c>
      <c r="BI70" s="908">
        <v>2519</v>
      </c>
      <c r="BJ70" s="908">
        <v>2520.5</v>
      </c>
      <c r="BK70" s="908">
        <v>2521.9</v>
      </c>
      <c r="BL70" s="908">
        <v>2523.3000000000002</v>
      </c>
      <c r="BM70" s="908">
        <v>2524.6999999999998</v>
      </c>
      <c r="BN70" s="908">
        <v>2526</v>
      </c>
      <c r="BO70" s="908">
        <v>2527</v>
      </c>
      <c r="BP70" s="908">
        <v>2527.8000000000002</v>
      </c>
      <c r="BQ70">
        <v>2528.5</v>
      </c>
      <c r="BR70">
        <v>2529.1</v>
      </c>
      <c r="BS70">
        <v>2529.6999999999998</v>
      </c>
      <c r="BT70">
        <v>2530.1999999999998</v>
      </c>
    </row>
    <row r="71" spans="2:72" x14ac:dyDescent="0.35">
      <c r="B71" s="932"/>
      <c r="C71" s="931"/>
      <c r="D71" s="957"/>
      <c r="E71" s="957"/>
      <c r="F71" s="957"/>
      <c r="G71" s="957"/>
      <c r="H71" s="957"/>
      <c r="I71" s="957"/>
      <c r="J71" s="957"/>
      <c r="K71" s="957"/>
      <c r="L71" s="957"/>
      <c r="M71" s="957"/>
      <c r="N71" s="957"/>
      <c r="O71" s="957"/>
      <c r="P71" s="957"/>
      <c r="Q71" s="957"/>
      <c r="R71" s="957"/>
      <c r="S71" s="957"/>
      <c r="T71" s="958"/>
      <c r="U71" s="958"/>
      <c r="V71" s="958"/>
      <c r="W71" s="958"/>
      <c r="X71" s="958"/>
      <c r="Y71" s="958"/>
      <c r="Z71" s="932"/>
      <c r="AA71" s="932"/>
      <c r="AB71" s="932"/>
      <c r="AC71" s="932"/>
      <c r="AD71" s="932"/>
      <c r="AE71" s="932"/>
      <c r="AF71" s="932"/>
      <c r="AG71" s="391"/>
      <c r="AH71" s="391"/>
      <c r="AI71" s="391"/>
      <c r="AJ71" s="391"/>
      <c r="AK71" s="391"/>
      <c r="AL71" s="391"/>
      <c r="AM71" s="391"/>
      <c r="AN71" s="391"/>
      <c r="AO71" s="245"/>
      <c r="AP71" s="56"/>
      <c r="AQ71" s="56"/>
      <c r="AR71" s="56"/>
      <c r="AS71" s="56"/>
      <c r="AT71" s="56"/>
      <c r="AU71" s="56"/>
      <c r="AV71" s="56"/>
    </row>
    <row r="72" spans="2:72" x14ac:dyDescent="0.35">
      <c r="B72" s="77" t="s">
        <v>1702</v>
      </c>
      <c r="C72" s="741"/>
      <c r="D72" s="917"/>
      <c r="E72" s="917"/>
      <c r="F72" s="917"/>
      <c r="G72" s="917"/>
      <c r="H72" s="917"/>
      <c r="I72" s="917"/>
      <c r="J72" s="917"/>
      <c r="K72" s="917"/>
      <c r="L72" s="917"/>
      <c r="M72" s="917"/>
      <c r="N72" s="917"/>
      <c r="O72" s="917"/>
      <c r="P72" s="917"/>
      <c r="Q72" s="917"/>
      <c r="R72" s="917"/>
      <c r="S72" s="929">
        <f t="shared" ref="S72:AE72" si="54">S65/S68</f>
        <v>1.1700921610724198</v>
      </c>
      <c r="T72" s="929">
        <f t="shared" si="54"/>
        <v>1.1816953797963978</v>
      </c>
      <c r="U72" s="929">
        <f t="shared" si="54"/>
        <v>1.1931632087271602</v>
      </c>
      <c r="V72" s="929">
        <f>V65/V68</f>
        <v>1.201768659356208</v>
      </c>
      <c r="W72" s="929">
        <f t="shared" si="54"/>
        <v>1.2097758632810751</v>
      </c>
      <c r="X72" s="929">
        <f t="shared" si="54"/>
        <v>1.2147338005500146</v>
      </c>
      <c r="Y72" s="929">
        <f t="shared" si="54"/>
        <v>1.2250061487428185</v>
      </c>
      <c r="Z72" s="929">
        <f t="shared" si="54"/>
        <v>1.2326880562148892</v>
      </c>
      <c r="AA72" s="929">
        <f t="shared" si="54"/>
        <v>1.2372845576913525</v>
      </c>
      <c r="AB72" s="929">
        <f t="shared" si="54"/>
        <v>1.2447937543552396</v>
      </c>
      <c r="AC72" s="929">
        <f>AC65/AC68</f>
        <v>1.2519082564303945</v>
      </c>
      <c r="AD72" s="929">
        <f t="shared" si="54"/>
        <v>1.2585786405872741</v>
      </c>
      <c r="AE72" s="929">
        <f t="shared" si="54"/>
        <v>1.2654057203904239</v>
      </c>
      <c r="AF72" s="925">
        <f>AF65/AF68</f>
        <v>1.27231230577623</v>
      </c>
      <c r="AG72" s="925">
        <f>AG65/AG68</f>
        <v>1.2790868658623309</v>
      </c>
      <c r="AH72" s="925">
        <f t="shared" ref="AH72:AI72" si="55">AH65/AH68</f>
        <v>1.2855539483713756</v>
      </c>
      <c r="AI72" s="925">
        <f t="shared" si="55"/>
        <v>1.292033226806468</v>
      </c>
      <c r="AJ72" s="925">
        <f>AJ65/AJ68</f>
        <v>1.2985763342395193</v>
      </c>
      <c r="AK72" s="925">
        <f>AK65/AK68</f>
        <v>1.3051101996236651</v>
      </c>
      <c r="AL72" s="925">
        <f>AL65/AL68</f>
        <v>1.3116458212540378</v>
      </c>
      <c r="AM72" s="925">
        <f>AM65/AM68</f>
        <v>1.3181836945304437</v>
      </c>
      <c r="AN72" s="925">
        <f>AN65/AN68</f>
        <v>1.3247463561647055</v>
      </c>
      <c r="AO72" s="926"/>
    </row>
    <row r="73" spans="2:72" x14ac:dyDescent="0.35">
      <c r="B73" s="67" t="s">
        <v>1703</v>
      </c>
      <c r="C73" s="235"/>
      <c r="D73" s="56"/>
      <c r="E73" s="56"/>
      <c r="F73" s="56"/>
      <c r="G73" s="56"/>
      <c r="H73" s="56"/>
      <c r="I73" s="56"/>
      <c r="J73" s="56"/>
      <c r="K73" s="56"/>
      <c r="L73" s="56"/>
      <c r="M73" s="56"/>
      <c r="N73" s="56"/>
      <c r="O73" s="56"/>
      <c r="P73" s="56"/>
      <c r="Q73" s="56"/>
      <c r="R73" s="56"/>
      <c r="S73" s="925">
        <f t="shared" ref="S73:AE73" si="56">S66/S69</f>
        <v>1.1617241135253733</v>
      </c>
      <c r="T73" s="925">
        <f t="shared" si="56"/>
        <v>1.1735937932945415</v>
      </c>
      <c r="U73" s="925">
        <f t="shared" si="56"/>
        <v>1.186027397260274</v>
      </c>
      <c r="V73" s="925">
        <f t="shared" si="56"/>
        <v>1.1962912087912088</v>
      </c>
      <c r="W73" s="925">
        <f t="shared" si="56"/>
        <v>1.2075535665852999</v>
      </c>
      <c r="X73" s="925">
        <f t="shared" si="56"/>
        <v>1.2190023752969121</v>
      </c>
      <c r="Y73" s="925">
        <f t="shared" si="56"/>
        <v>1.229656296698818</v>
      </c>
      <c r="Z73" s="925">
        <f t="shared" si="56"/>
        <v>1.2382040596854416</v>
      </c>
      <c r="AA73" s="925">
        <f t="shared" si="56"/>
        <v>1.245739851306007</v>
      </c>
      <c r="AB73" s="925">
        <f t="shared" si="56"/>
        <v>1.2551546391752577</v>
      </c>
      <c r="AC73" s="925">
        <f>AC66/AC69</f>
        <v>1.2609875562615833</v>
      </c>
      <c r="AD73" s="925">
        <f t="shared" si="56"/>
        <v>1.265783371977476</v>
      </c>
      <c r="AE73" s="925">
        <f t="shared" si="56"/>
        <v>1.2704189870060991</v>
      </c>
      <c r="AF73" s="925">
        <f>AF66/AF69</f>
        <v>1.275194055596099</v>
      </c>
      <c r="AG73" s="925">
        <f>AG66/AG69</f>
        <v>1.2819985402428504</v>
      </c>
      <c r="AH73" s="925">
        <f t="shared" ref="AH73:AJ73" si="57">AH66/AH69</f>
        <v>1.289241388464857</v>
      </c>
      <c r="AI73" s="925">
        <f t="shared" si="57"/>
        <v>1.2966748523262759</v>
      </c>
      <c r="AJ73" s="925">
        <f t="shared" si="57"/>
        <v>1.3043507140484889</v>
      </c>
      <c r="AK73" s="925">
        <f t="shared" ref="AK73:AM73" si="58">AK66/AK69</f>
        <v>1.3115985377201729</v>
      </c>
      <c r="AL73" s="925">
        <f t="shared" si="58"/>
        <v>1.3188010899182561</v>
      </c>
      <c r="AM73" s="925">
        <f t="shared" si="58"/>
        <v>1.3262458471760796</v>
      </c>
      <c r="AN73" s="925">
        <f>AN66/AN69</f>
        <v>1.3338873745096735</v>
      </c>
      <c r="AO73" s="927"/>
    </row>
    <row r="74" spans="2:72" x14ac:dyDescent="0.35">
      <c r="B74" s="341" t="s">
        <v>1704</v>
      </c>
      <c r="C74" s="236"/>
      <c r="D74" s="35"/>
      <c r="E74" s="35"/>
      <c r="F74" s="35"/>
      <c r="G74" s="35"/>
      <c r="H74" s="35"/>
      <c r="I74" s="35"/>
      <c r="J74" s="35"/>
      <c r="K74" s="35"/>
      <c r="L74" s="35"/>
      <c r="M74" s="35"/>
      <c r="N74" s="35"/>
      <c r="O74" s="35"/>
      <c r="P74" s="35"/>
      <c r="Q74" s="35"/>
      <c r="R74" s="35"/>
      <c r="S74" s="928">
        <f t="shared" ref="S74:AF74" si="59">S67/S70</f>
        <v>1.2627669039145906</v>
      </c>
      <c r="T74" s="928">
        <f t="shared" si="59"/>
        <v>1.2663108209449025</v>
      </c>
      <c r="U74" s="928">
        <f t="shared" si="59"/>
        <v>1.2596882347818514</v>
      </c>
      <c r="V74" s="928">
        <f t="shared" si="59"/>
        <v>1.247948089897297</v>
      </c>
      <c r="W74" s="928">
        <f t="shared" si="59"/>
        <v>1.2603778380210098</v>
      </c>
      <c r="X74" s="928">
        <f t="shared" si="59"/>
        <v>1.2600692850285904</v>
      </c>
      <c r="Y74" s="928">
        <f t="shared" si="59"/>
        <v>1.2720381110190555</v>
      </c>
      <c r="Z74" s="928">
        <f t="shared" si="59"/>
        <v>1.2771942831253347</v>
      </c>
      <c r="AA74" s="928">
        <f t="shared" si="59"/>
        <v>1.284504275952371</v>
      </c>
      <c r="AB74" s="928">
        <f t="shared" si="59"/>
        <v>1.2944609984080984</v>
      </c>
      <c r="AC74" s="928">
        <f>AC67/AC70</f>
        <v>1.3042982277449582</v>
      </c>
      <c r="AD74" s="928">
        <f t="shared" si="59"/>
        <v>1.3135275923815726</v>
      </c>
      <c r="AE74" s="928">
        <f t="shared" si="59"/>
        <v>1.3237015362106803</v>
      </c>
      <c r="AF74" s="928">
        <f t="shared" si="59"/>
        <v>1.334293831168831</v>
      </c>
      <c r="AG74" s="928">
        <f t="shared" ref="AG74:AJ74" si="60">AG67/AG70</f>
        <v>1.3452216908486665</v>
      </c>
      <c r="AH74" s="928">
        <f t="shared" si="60"/>
        <v>1.355668016194332</v>
      </c>
      <c r="AI74" s="928">
        <f t="shared" si="60"/>
        <v>1.3660587926084673</v>
      </c>
      <c r="AJ74" s="928">
        <f t="shared" si="60"/>
        <v>1.3765299939406179</v>
      </c>
      <c r="AK74" s="928">
        <f t="shared" ref="AK74:AN74" si="61">AK67/AK70</f>
        <v>1.3869223007063571</v>
      </c>
      <c r="AL74" s="928">
        <f t="shared" si="61"/>
        <v>1.3973226886012662</v>
      </c>
      <c r="AM74" s="928">
        <f t="shared" si="61"/>
        <v>1.4076848719188013</v>
      </c>
      <c r="AN74" s="928">
        <f t="shared" si="61"/>
        <v>1.4180581821108116</v>
      </c>
      <c r="AO74" s="927"/>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59"/>
      <c r="E78" s="959"/>
      <c r="F78" s="959"/>
      <c r="G78" s="959"/>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1"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62"/>
      <c r="E83" s="962"/>
      <c r="F83" s="962"/>
      <c r="G83" s="962"/>
      <c r="H83" s="962"/>
      <c r="I83" s="962"/>
      <c r="J83" s="962"/>
      <c r="K83" s="962"/>
      <c r="L83" s="962"/>
      <c r="M83" s="962"/>
    </row>
    <row r="84" spans="3:13" x14ac:dyDescent="0.35">
      <c r="C84" s="959"/>
      <c r="D84" s="962"/>
      <c r="E84" s="962"/>
      <c r="F84" s="962"/>
      <c r="G84" s="962"/>
      <c r="H84" s="962"/>
      <c r="I84" s="962"/>
      <c r="J84" s="962"/>
      <c r="K84" s="962"/>
      <c r="L84" s="962"/>
      <c r="M84" s="962"/>
    </row>
    <row r="85" spans="3:13" x14ac:dyDescent="0.35">
      <c r="C85" s="959"/>
      <c r="D85" s="962"/>
      <c r="E85" s="962"/>
      <c r="F85" s="962"/>
      <c r="G85" s="962"/>
      <c r="H85" s="962"/>
      <c r="I85" s="962"/>
      <c r="J85" s="962"/>
      <c r="K85" s="962"/>
      <c r="L85" s="962"/>
      <c r="M85" s="962"/>
    </row>
    <row r="86" spans="3:13" x14ac:dyDescent="0.35">
      <c r="C86" s="959"/>
      <c r="D86" s="962"/>
      <c r="E86" s="962"/>
      <c r="F86" s="962"/>
      <c r="G86" s="962"/>
      <c r="H86" s="962"/>
      <c r="I86" s="962"/>
      <c r="J86" s="962"/>
      <c r="K86" s="962"/>
      <c r="L86" s="962"/>
      <c r="M86" s="962"/>
    </row>
    <row r="87" spans="3:13" x14ac:dyDescent="0.35">
      <c r="C87" s="959"/>
      <c r="D87" s="962"/>
      <c r="E87" s="962"/>
      <c r="F87" s="962"/>
      <c r="G87" s="962"/>
      <c r="H87" s="962"/>
      <c r="I87" s="962"/>
      <c r="J87" s="962"/>
      <c r="K87" s="962"/>
      <c r="L87" s="962"/>
      <c r="M87" s="962"/>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59999389629810485"/>
  </sheetPr>
  <dimension ref="A1:CW139"/>
  <sheetViews>
    <sheetView zoomScale="85" zoomScaleNormal="85" workbookViewId="0">
      <pane xSplit="2" ySplit="11" topLeftCell="P12" activePane="bottomRight" state="frozen"/>
      <selection pane="topRight" activeCell="C1" sqref="C1"/>
      <selection pane="bottomLeft" activeCell="A12" sqref="A12"/>
      <selection pane="bottomRight" activeCell="Y15" sqref="Y15"/>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397" t="s">
        <v>463</v>
      </c>
      <c r="C1" s="1397"/>
      <c r="D1" s="1397"/>
      <c r="E1" s="1397"/>
      <c r="F1" s="1397"/>
      <c r="G1" s="1397"/>
      <c r="H1" s="1397"/>
      <c r="I1" s="1397"/>
      <c r="J1" s="1397"/>
      <c r="K1" s="1397"/>
      <c r="L1" s="1397"/>
      <c r="M1" s="1397"/>
      <c r="N1" s="1397"/>
      <c r="O1" s="1397"/>
      <c r="P1" s="1397"/>
      <c r="Q1" s="1397"/>
      <c r="R1" s="1397"/>
      <c r="S1" s="1397"/>
      <c r="T1" s="1397"/>
      <c r="U1" s="1397"/>
      <c r="V1" s="1397"/>
      <c r="W1" s="1397"/>
      <c r="X1" s="1397"/>
      <c r="Y1" s="1397"/>
      <c r="Z1" s="1397"/>
      <c r="AA1" s="1397"/>
      <c r="AB1" s="1397"/>
      <c r="AC1" s="1397"/>
    </row>
    <row r="2" spans="1:29" ht="34.5" hidden="1" customHeight="1" outlineLevel="1" x14ac:dyDescent="0.35">
      <c r="B2" s="1346" t="s">
        <v>858</v>
      </c>
      <c r="C2" s="1363"/>
      <c r="D2" s="1363"/>
      <c r="E2" s="1363"/>
      <c r="F2" s="1363"/>
      <c r="G2" s="1363"/>
      <c r="H2" s="1363"/>
      <c r="I2" s="1363"/>
      <c r="J2" s="1363"/>
      <c r="K2" s="1363"/>
      <c r="L2" s="1363"/>
      <c r="M2" s="1363"/>
      <c r="N2" s="1363"/>
      <c r="O2" s="1363"/>
      <c r="P2" s="1363"/>
      <c r="Q2" s="1363"/>
      <c r="R2" s="1363"/>
      <c r="S2" s="1363"/>
      <c r="T2" s="1363"/>
      <c r="U2" s="1363"/>
      <c r="V2" s="1363"/>
      <c r="W2" s="1363"/>
      <c r="X2" s="1363"/>
      <c r="Y2" s="1363"/>
      <c r="Z2" s="1363"/>
      <c r="AA2" s="1363"/>
      <c r="AB2" s="1363"/>
      <c r="AC2" s="1363"/>
    </row>
    <row r="3" spans="1:29" ht="3" hidden="1" customHeight="1" outlineLevel="1" x14ac:dyDescent="0.35">
      <c r="B3" s="1363"/>
      <c r="C3" s="1363"/>
      <c r="D3" s="1363"/>
      <c r="E3" s="1363"/>
      <c r="F3" s="1363"/>
      <c r="G3" s="1363"/>
      <c r="H3" s="1363"/>
      <c r="I3" s="1363"/>
      <c r="J3" s="1363"/>
      <c r="K3" s="1363"/>
      <c r="L3" s="1363"/>
      <c r="M3" s="1363"/>
      <c r="N3" s="1363"/>
      <c r="O3" s="1363"/>
      <c r="P3" s="1363"/>
      <c r="Q3" s="1363"/>
      <c r="R3" s="1363"/>
      <c r="S3" s="1363"/>
      <c r="T3" s="1363"/>
      <c r="U3" s="1363"/>
      <c r="V3" s="1363"/>
      <c r="W3" s="1363"/>
      <c r="X3" s="1363"/>
      <c r="Y3" s="1363"/>
      <c r="Z3" s="1363"/>
      <c r="AA3" s="1363"/>
      <c r="AB3" s="1363"/>
      <c r="AC3" s="1363"/>
    </row>
    <row r="4" spans="1:29" ht="10.4" hidden="1" customHeight="1" outlineLevel="1" x14ac:dyDescent="0.35">
      <c r="B4" s="1363"/>
      <c r="C4" s="1363"/>
      <c r="D4" s="1363"/>
      <c r="E4" s="1363"/>
      <c r="F4" s="1363"/>
      <c r="G4" s="1363"/>
      <c r="H4" s="1363"/>
      <c r="I4" s="1363"/>
      <c r="J4" s="1363"/>
      <c r="K4" s="1363"/>
      <c r="L4" s="1363"/>
      <c r="M4" s="1363"/>
      <c r="N4" s="1363"/>
      <c r="O4" s="1363"/>
      <c r="P4" s="1363"/>
      <c r="Q4" s="1363"/>
      <c r="R4" s="1363"/>
      <c r="S4" s="1363"/>
      <c r="T4" s="1363"/>
      <c r="U4" s="1363"/>
      <c r="V4" s="1363"/>
      <c r="W4" s="1363"/>
      <c r="X4" s="1363"/>
      <c r="Y4" s="1363"/>
      <c r="Z4" s="1363"/>
      <c r="AA4" s="1363"/>
      <c r="AB4" s="1363"/>
      <c r="AC4" s="1363"/>
    </row>
    <row r="5" spans="1:29" ht="14.25" hidden="1" customHeight="1" outlineLevel="1" x14ac:dyDescent="0.35">
      <c r="B5" s="1363"/>
      <c r="C5" s="1363"/>
      <c r="D5" s="1363"/>
      <c r="E5" s="1363"/>
      <c r="F5" s="1363"/>
      <c r="G5" s="1363"/>
      <c r="H5" s="1363"/>
      <c r="I5" s="1363"/>
      <c r="J5" s="1363"/>
      <c r="K5" s="1363"/>
      <c r="L5" s="1363"/>
      <c r="M5" s="1363"/>
      <c r="N5" s="1363"/>
      <c r="O5" s="1363"/>
      <c r="P5" s="1363"/>
      <c r="Q5" s="1363"/>
      <c r="R5" s="1363"/>
      <c r="S5" s="1363"/>
      <c r="T5" s="1363"/>
      <c r="U5" s="1363"/>
      <c r="V5" s="1363"/>
      <c r="W5" s="1363"/>
      <c r="X5" s="1363"/>
      <c r="Y5" s="1363"/>
      <c r="Z5" s="1363"/>
      <c r="AA5" s="1363"/>
      <c r="AB5" s="1363"/>
      <c r="AC5" s="1363"/>
    </row>
    <row r="6" spans="1:29" ht="14.25" hidden="1" customHeight="1" outlineLevel="1" x14ac:dyDescent="0.35">
      <c r="B6" s="1363"/>
      <c r="C6" s="1363"/>
      <c r="D6" s="1363"/>
      <c r="E6" s="1363"/>
      <c r="F6" s="1363"/>
      <c r="G6" s="1363"/>
      <c r="H6" s="1363"/>
      <c r="I6" s="1363"/>
      <c r="J6" s="1363"/>
      <c r="K6" s="1363"/>
      <c r="L6" s="1363"/>
      <c r="M6" s="1363"/>
      <c r="N6" s="1363"/>
      <c r="O6" s="1363"/>
      <c r="P6" s="1363"/>
      <c r="Q6" s="1363"/>
      <c r="R6" s="1363"/>
      <c r="S6" s="1363"/>
      <c r="T6" s="1363"/>
      <c r="U6" s="1363"/>
      <c r="V6" s="1363"/>
      <c r="W6" s="1363"/>
      <c r="X6" s="1363"/>
      <c r="Y6" s="1363"/>
      <c r="Z6" s="1363"/>
      <c r="AA6" s="1363"/>
      <c r="AB6" s="1363"/>
      <c r="AC6" s="1363"/>
    </row>
    <row r="7" spans="1:29" collapsed="1" x14ac:dyDescent="0.35">
      <c r="B7" s="706" t="s">
        <v>332</v>
      </c>
      <c r="C7" s="265"/>
      <c r="D7" s="265"/>
      <c r="E7" s="265"/>
      <c r="F7" s="265"/>
      <c r="G7" s="265"/>
      <c r="H7" s="266"/>
      <c r="I7" s="266"/>
      <c r="J7" s="266"/>
      <c r="K7" s="266"/>
      <c r="L7" s="266"/>
      <c r="M7" s="266"/>
      <c r="N7" s="266"/>
      <c r="O7" s="266"/>
      <c r="P7" s="266"/>
      <c r="Q7" s="266"/>
      <c r="R7" s="266"/>
      <c r="S7" s="266"/>
      <c r="T7" s="266"/>
      <c r="U7" s="266"/>
    </row>
    <row r="8" spans="1:29" ht="14.9" customHeight="1" x14ac:dyDescent="0.35">
      <c r="B8" s="678" t="s">
        <v>303</v>
      </c>
      <c r="C8" s="679"/>
      <c r="D8" s="729" t="s">
        <v>279</v>
      </c>
      <c r="E8" s="730"/>
      <c r="F8" s="730"/>
      <c r="G8" s="730"/>
      <c r="H8" s="730"/>
      <c r="I8" s="730"/>
      <c r="J8" s="730"/>
      <c r="K8" s="730"/>
      <c r="L8" s="730"/>
      <c r="M8" s="730"/>
      <c r="N8" s="730"/>
      <c r="O8" s="730"/>
      <c r="P8" s="1275"/>
      <c r="Q8" s="1275"/>
      <c r="R8" s="1275"/>
      <c r="S8" s="1275"/>
      <c r="T8" s="1275"/>
      <c r="U8" s="1275"/>
      <c r="V8" s="1351"/>
      <c r="W8" s="1261" t="s">
        <v>280</v>
      </c>
      <c r="X8" s="1262"/>
      <c r="Y8" s="1262"/>
      <c r="Z8" s="1262"/>
      <c r="AA8" s="1262"/>
      <c r="AB8" s="1262"/>
      <c r="AC8" s="1263"/>
    </row>
    <row r="9" spans="1:29" ht="14.9" customHeight="1" x14ac:dyDescent="0.35">
      <c r="B9" s="680"/>
      <c r="C9" s="681"/>
      <c r="D9" s="293">
        <v>2018</v>
      </c>
      <c r="E9" s="1264">
        <v>2019</v>
      </c>
      <c r="F9" s="1359"/>
      <c r="G9" s="1359"/>
      <c r="H9" s="1266"/>
      <c r="I9" s="1264">
        <v>2020</v>
      </c>
      <c r="J9" s="1359"/>
      <c r="K9" s="1359"/>
      <c r="L9" s="1359"/>
      <c r="M9" s="1264">
        <v>2021</v>
      </c>
      <c r="N9" s="1359"/>
      <c r="O9" s="1359"/>
      <c r="P9" s="1359"/>
      <c r="Q9" s="1264">
        <v>2022</v>
      </c>
      <c r="R9" s="1265"/>
      <c r="S9" s="1265"/>
      <c r="T9" s="1266"/>
      <c r="U9" s="299"/>
      <c r="V9" s="299">
        <v>2023</v>
      </c>
      <c r="W9" s="625"/>
      <c r="X9" s="332"/>
      <c r="Y9" s="1270">
        <v>2024</v>
      </c>
      <c r="Z9" s="1352"/>
      <c r="AA9" s="1352"/>
      <c r="AB9" s="1272"/>
      <c r="AC9" s="301">
        <v>2025</v>
      </c>
    </row>
    <row r="10" spans="1:29" x14ac:dyDescent="0.35">
      <c r="B10" s="680"/>
      <c r="C10" s="681"/>
      <c r="D10" s="221" t="s">
        <v>281</v>
      </c>
      <c r="E10" s="221" t="s">
        <v>282</v>
      </c>
      <c r="F10" s="222" t="s">
        <v>283</v>
      </c>
      <c r="G10" s="222" t="s">
        <v>238</v>
      </c>
      <c r="H10" s="228" t="s">
        <v>281</v>
      </c>
      <c r="I10" s="222" t="s">
        <v>282</v>
      </c>
      <c r="J10" s="222" t="s">
        <v>283</v>
      </c>
      <c r="K10" s="222" t="s">
        <v>238</v>
      </c>
      <c r="L10" s="222" t="s">
        <v>281</v>
      </c>
      <c r="M10" s="221" t="s">
        <v>282</v>
      </c>
      <c r="N10" s="222" t="s">
        <v>283</v>
      </c>
      <c r="O10" s="222" t="s">
        <v>238</v>
      </c>
      <c r="P10" s="222" t="s">
        <v>281</v>
      </c>
      <c r="Q10" s="221" t="s">
        <v>282</v>
      </c>
      <c r="R10" s="222" t="s">
        <v>283</v>
      </c>
      <c r="S10" s="222" t="s">
        <v>238</v>
      </c>
      <c r="T10" s="228" t="s">
        <v>281</v>
      </c>
      <c r="U10" s="222" t="s">
        <v>282</v>
      </c>
      <c r="V10" s="283" t="s">
        <v>283</v>
      </c>
      <c r="W10" s="269" t="s">
        <v>238</v>
      </c>
      <c r="X10" s="298" t="s">
        <v>281</v>
      </c>
      <c r="Y10" s="296" t="s">
        <v>282</v>
      </c>
      <c r="Z10" s="267" t="s">
        <v>283</v>
      </c>
      <c r="AA10" s="269" t="s">
        <v>238</v>
      </c>
      <c r="AB10" s="269" t="s">
        <v>281</v>
      </c>
      <c r="AC10" s="302" t="s">
        <v>282</v>
      </c>
    </row>
    <row r="11" spans="1:29" ht="15" customHeight="1" x14ac:dyDescent="0.35">
      <c r="B11" s="1398" t="s">
        <v>464</v>
      </c>
      <c r="C11" s="1399"/>
      <c r="D11" s="651"/>
      <c r="E11" s="703"/>
      <c r="F11" s="703"/>
      <c r="G11" s="703"/>
      <c r="H11" s="317"/>
      <c r="I11" s="317"/>
      <c r="J11" s="317"/>
      <c r="K11" s="317"/>
      <c r="L11" s="317"/>
      <c r="M11" s="571"/>
      <c r="N11" s="571"/>
      <c r="O11" s="571"/>
      <c r="P11" s="317"/>
      <c r="Q11" s="317"/>
      <c r="R11" s="317"/>
      <c r="S11" s="317"/>
      <c r="T11" s="284"/>
      <c r="U11" s="317"/>
      <c r="V11" s="317"/>
      <c r="W11" s="223"/>
      <c r="X11" s="223"/>
      <c r="Y11" s="223"/>
      <c r="Z11" s="223"/>
      <c r="AA11" s="223"/>
      <c r="AB11" s="223"/>
      <c r="AC11" s="224"/>
    </row>
    <row r="12" spans="1:29" ht="17.149999999999999" customHeight="1" x14ac:dyDescent="0.35">
      <c r="A12" t="s">
        <v>1845</v>
      </c>
      <c r="B12" s="739" t="s">
        <v>465</v>
      </c>
      <c r="C12" s="245" t="s">
        <v>466</v>
      </c>
      <c r="D12" s="588">
        <f>'Haver Pivoted'!GO31</f>
        <v>2223</v>
      </c>
      <c r="E12" s="503">
        <f>'Haver Pivoted'!GP31</f>
        <v>2303.8000000000002</v>
      </c>
      <c r="F12" s="503">
        <f>'Haver Pivoted'!GQ31</f>
        <v>2321.6999999999998</v>
      </c>
      <c r="G12" s="503">
        <f>'Haver Pivoted'!GR31</f>
        <v>2337.1</v>
      </c>
      <c r="H12" s="503">
        <f>'Haver Pivoted'!GS31</f>
        <v>2349.5</v>
      </c>
      <c r="I12" s="503">
        <f>'Haver Pivoted'!GT31</f>
        <v>2414.4</v>
      </c>
      <c r="J12" s="503">
        <f>'Haver Pivoted'!GU31</f>
        <v>4654.1000000000004</v>
      </c>
      <c r="K12" s="503">
        <f>'Haver Pivoted'!GV31</f>
        <v>3504.7</v>
      </c>
      <c r="L12" s="503">
        <f>'Haver Pivoted'!GW31</f>
        <v>2888.4</v>
      </c>
      <c r="M12" s="503">
        <f>'Haver Pivoted'!GX31</f>
        <v>5138.1000000000004</v>
      </c>
      <c r="N12" s="503">
        <f>'Haver Pivoted'!GY31</f>
        <v>3397.8</v>
      </c>
      <c r="O12" s="503">
        <f>'Haver Pivoted'!GZ31</f>
        <v>3124.9</v>
      </c>
      <c r="P12" s="503">
        <f>'Haver Pivoted'!HA31</f>
        <v>2952.6</v>
      </c>
      <c r="Q12" s="503">
        <f>'Haver Pivoted'!HB31</f>
        <v>2970.9</v>
      </c>
      <c r="R12" s="503">
        <f>'Haver Pivoted'!HC31</f>
        <v>2976.2</v>
      </c>
      <c r="S12" s="563">
        <f>'Haver Pivoted'!HD31</f>
        <v>2970.4</v>
      </c>
      <c r="T12" s="563">
        <f>'Haver Pivoted'!HE31</f>
        <v>3024.4</v>
      </c>
      <c r="U12" s="563">
        <f>'Haver Pivoted'!HF31</f>
        <v>3038.4</v>
      </c>
      <c r="V12" s="563">
        <f>'Haver Pivoted'!HG31</f>
        <v>3049.1</v>
      </c>
      <c r="W12" s="656">
        <f t="shared" ref="W12:AC12" si="0">SUM(W14:W39)-W38</f>
        <v>3234.0849999999996</v>
      </c>
      <c r="X12" s="656">
        <f t="shared" si="0"/>
        <v>3252.9990000000003</v>
      </c>
      <c r="Y12" s="656">
        <f t="shared" si="0"/>
        <v>3315.8425447000004</v>
      </c>
      <c r="Z12" s="656">
        <f t="shared" si="0"/>
        <v>3340.4425447000008</v>
      </c>
      <c r="AA12" s="656">
        <f t="shared" si="0"/>
        <v>3371.0425447000007</v>
      </c>
      <c r="AB12" s="656">
        <f t="shared" si="0"/>
        <v>3405.1965447000002</v>
      </c>
      <c r="AC12" s="731">
        <f t="shared" si="0"/>
        <v>3473.0437550960005</v>
      </c>
    </row>
    <row r="13" spans="1:29" ht="15.65" customHeight="1" x14ac:dyDescent="0.35">
      <c r="A13" t="s">
        <v>1845</v>
      </c>
      <c r="B13" s="738" t="s">
        <v>796</v>
      </c>
      <c r="C13" s="245" t="s">
        <v>823</v>
      </c>
      <c r="D13" s="271">
        <v>30</v>
      </c>
      <c r="E13" s="241">
        <v>30</v>
      </c>
      <c r="F13" s="241">
        <v>30</v>
      </c>
      <c r="G13" s="241">
        <v>30</v>
      </c>
      <c r="H13" s="241">
        <v>30</v>
      </c>
      <c r="I13" s="241">
        <v>30</v>
      </c>
      <c r="J13" s="241">
        <v>30</v>
      </c>
      <c r="K13" s="237">
        <v>30.2</v>
      </c>
      <c r="L13" s="237">
        <v>30.2</v>
      </c>
      <c r="M13" s="237">
        <f>'Haver Pivoted'!GX89</f>
        <v>34.4</v>
      </c>
      <c r="N13" s="237">
        <f>'Haver Pivoted'!GY89</f>
        <v>34.4</v>
      </c>
      <c r="O13" s="237">
        <f>'Haver Pivoted'!GZ89</f>
        <v>218.933333333333</v>
      </c>
      <c r="P13" s="237">
        <f>'Haver Pivoted'!HA89</f>
        <v>223.13333333333301</v>
      </c>
      <c r="Q13" s="237">
        <f>'Haver Pivoted'!HB89</f>
        <v>94.3</v>
      </c>
      <c r="R13" s="237">
        <f>'Haver Pivoted'!HC89</f>
        <v>94.3</v>
      </c>
      <c r="S13" s="237">
        <f>'Haver Pivoted'!HD89</f>
        <v>94.3</v>
      </c>
      <c r="T13" s="237">
        <f>'Haver Pivoted'!HE89</f>
        <v>94.3</v>
      </c>
      <c r="U13" s="656">
        <v>34</v>
      </c>
      <c r="V13" s="503">
        <v>34</v>
      </c>
      <c r="W13" s="656">
        <v>34</v>
      </c>
      <c r="X13" s="656">
        <v>34</v>
      </c>
      <c r="Y13" s="656">
        <v>34</v>
      </c>
      <c r="Z13" s="656">
        <v>34</v>
      </c>
      <c r="AA13" s="656">
        <v>34</v>
      </c>
      <c r="AB13" s="656">
        <v>34</v>
      </c>
      <c r="AC13" s="731">
        <v>34</v>
      </c>
    </row>
    <row r="14" spans="1:29" ht="15" customHeight="1" x14ac:dyDescent="0.35">
      <c r="A14" t="s">
        <v>1842</v>
      </c>
      <c r="B14" s="664" t="s">
        <v>1834</v>
      </c>
      <c r="C14" s="245"/>
      <c r="D14" s="588">
        <f>'Unemployment Insurance'!D21+'Unemployment Insurance'!D20</f>
        <v>27.1</v>
      </c>
      <c r="E14" s="503">
        <f>'Unemployment Insurance'!E21+'Unemployment Insurance'!E20</f>
        <v>29.6</v>
      </c>
      <c r="F14" s="503">
        <f>'Unemployment Insurance'!F21+'Unemployment Insurance'!F20</f>
        <v>27.3</v>
      </c>
      <c r="G14" s="503">
        <f>'Unemployment Insurance'!G21+'Unemployment Insurance'!G20</f>
        <v>26.4</v>
      </c>
      <c r="H14" s="503">
        <f>'Unemployment Insurance'!H21+'Unemployment Insurance'!H20</f>
        <v>26.7</v>
      </c>
      <c r="I14" s="503">
        <f>'Unemployment Insurance'!I21+'Unemployment Insurance'!I20</f>
        <v>40.1</v>
      </c>
      <c r="J14" s="503">
        <f>'Unemployment Insurance'!J21+'Unemployment Insurance'!J20</f>
        <v>951.5</v>
      </c>
      <c r="K14" s="503">
        <f>'Unemployment Insurance'!K21+'Unemployment Insurance'!K20</f>
        <v>800</v>
      </c>
      <c r="L14" s="503">
        <f>'Unemployment Insurance'!L21+'Unemployment Insurance'!L20</f>
        <v>322.7</v>
      </c>
      <c r="M14" s="503">
        <f>'Unemployment Insurance'!M21+'Unemployment Insurance'!M20</f>
        <v>583.79999999999995</v>
      </c>
      <c r="N14" s="503">
        <f>'Unemployment Insurance'!N21+'Unemployment Insurance'!N20</f>
        <v>440.8</v>
      </c>
      <c r="O14" s="503">
        <f>'Unemployment Insurance'!O21+'Unemployment Insurance'!O20</f>
        <v>212.8</v>
      </c>
      <c r="P14" s="503">
        <f>'Unemployment Insurance'!P21+'Unemployment Insurance'!P20</f>
        <v>31.8</v>
      </c>
      <c r="Q14" s="503">
        <f>'Unemployment Insurance'!Q21+'Unemployment Insurance'!Q20</f>
        <v>24.5</v>
      </c>
      <c r="R14" s="503">
        <f>'Unemployment Insurance'!R21+'Unemployment Insurance'!R20</f>
        <v>21.7</v>
      </c>
      <c r="S14" s="503">
        <f>'Unemployment Insurance'!S21+'Unemployment Insurance'!S20</f>
        <v>23.1</v>
      </c>
      <c r="T14" s="503">
        <f>'Unemployment Insurance'!T21+'Unemployment Insurance'!T20</f>
        <v>25.9</v>
      </c>
      <c r="U14" s="503">
        <f>'Unemployment Insurance'!U21+'Unemployment Insurance'!U20</f>
        <v>30.1</v>
      </c>
      <c r="V14" s="735">
        <f>V15+V16</f>
        <v>30.960000000000004</v>
      </c>
      <c r="W14" s="656">
        <f>'Unemployment Insurance'!W21+'Unemployment Insurance'!W20</f>
        <v>30.960000000000004</v>
      </c>
      <c r="X14" s="656">
        <f>'Unemployment Insurance'!X21+'Unemployment Insurance'!X20</f>
        <v>35.299999999999997</v>
      </c>
      <c r="Y14" s="656">
        <f>'Unemployment Insurance'!Y21+'Unemployment Insurance'!Y20</f>
        <v>34.9</v>
      </c>
      <c r="Z14" s="656">
        <f>'Unemployment Insurance'!Z21+'Unemployment Insurance'!Z20</f>
        <v>34.9</v>
      </c>
      <c r="AA14" s="656">
        <f>'Unemployment Insurance'!AA21+'Unemployment Insurance'!AA20</f>
        <v>35.700000000000003</v>
      </c>
      <c r="AB14" s="656">
        <f>'Unemployment Insurance'!AB21+'Unemployment Insurance'!AB20</f>
        <v>36.1</v>
      </c>
      <c r="AC14" s="731">
        <f>'Unemployment Insurance'!AC21+'Unemployment Insurance'!AC20</f>
        <v>35.799999999999997</v>
      </c>
    </row>
    <row r="15" spans="1:29" x14ac:dyDescent="0.35">
      <c r="B15" s="421" t="s">
        <v>203</v>
      </c>
      <c r="C15" s="245"/>
      <c r="D15" s="588"/>
      <c r="E15" s="503"/>
      <c r="F15" s="503"/>
      <c r="G15" s="503"/>
      <c r="H15" s="503"/>
      <c r="I15" s="503"/>
      <c r="J15" s="503"/>
      <c r="K15" s="503"/>
      <c r="L15" s="503"/>
      <c r="M15" s="503"/>
      <c r="N15" s="503"/>
      <c r="O15" s="503"/>
      <c r="P15" s="503"/>
      <c r="Q15" s="503"/>
      <c r="R15" s="503"/>
      <c r="S15" s="503"/>
      <c r="T15" s="503"/>
      <c r="U15" s="503"/>
      <c r="V15" s="503">
        <f>'Unemployment Insurance'!V20</f>
        <v>0</v>
      </c>
      <c r="W15" s="656"/>
      <c r="X15" s="656"/>
      <c r="Y15" s="656"/>
      <c r="Z15" s="656"/>
      <c r="AA15" s="656"/>
      <c r="AB15" s="656"/>
      <c r="AC15" s="731"/>
    </row>
    <row r="16" spans="1:29" x14ac:dyDescent="0.35">
      <c r="B16" s="421" t="s">
        <v>205</v>
      </c>
      <c r="C16" s="245"/>
      <c r="D16" s="588"/>
      <c r="E16" s="503"/>
      <c r="F16" s="503"/>
      <c r="G16" s="503"/>
      <c r="H16" s="503"/>
      <c r="I16" s="503"/>
      <c r="J16" s="503"/>
      <c r="K16" s="503"/>
      <c r="L16" s="503"/>
      <c r="M16" s="503"/>
      <c r="N16" s="503"/>
      <c r="O16" s="503"/>
      <c r="P16" s="503"/>
      <c r="Q16" s="503"/>
      <c r="R16" s="503"/>
      <c r="S16" s="503"/>
      <c r="T16" s="503"/>
      <c r="U16" s="503"/>
      <c r="V16" s="503">
        <f>'Unemployment Insurance'!V21</f>
        <v>30.960000000000004</v>
      </c>
      <c r="W16" s="656"/>
      <c r="X16" s="656"/>
      <c r="Y16" s="656"/>
      <c r="Z16" s="656"/>
      <c r="AA16" s="656"/>
      <c r="AB16" s="656"/>
      <c r="AC16" s="731"/>
    </row>
    <row r="17" spans="1:101" ht="17.899999999999999" customHeight="1" x14ac:dyDescent="0.35">
      <c r="A17" t="s">
        <v>1842</v>
      </c>
      <c r="B17" s="664" t="s">
        <v>55</v>
      </c>
      <c r="C17" s="245"/>
      <c r="D17" s="588">
        <f>Medicare!D10</f>
        <v>755</v>
      </c>
      <c r="E17" s="503">
        <f>Medicare!E10</f>
        <v>773.5</v>
      </c>
      <c r="F17" s="503">
        <f>Medicare!F10</f>
        <v>788.5</v>
      </c>
      <c r="G17" s="503">
        <f>Medicare!G10</f>
        <v>798</v>
      </c>
      <c r="H17" s="503">
        <f>Medicare!H10</f>
        <v>802</v>
      </c>
      <c r="I17" s="503">
        <f>Medicare!I10</f>
        <v>801.9</v>
      </c>
      <c r="J17" s="503">
        <f>Medicare!J10</f>
        <v>814.3</v>
      </c>
      <c r="K17" s="503">
        <f>Medicare!K10</f>
        <v>826.6</v>
      </c>
      <c r="L17" s="503">
        <f>Medicare!L10</f>
        <v>838.8</v>
      </c>
      <c r="M17" s="503">
        <f>Medicare!M10</f>
        <v>854.9</v>
      </c>
      <c r="N17" s="503">
        <f>Medicare!N10</f>
        <v>871.2</v>
      </c>
      <c r="O17" s="503">
        <f>Medicare!O10</f>
        <v>887.1</v>
      </c>
      <c r="P17" s="503">
        <f>Medicare!P10</f>
        <v>902.4</v>
      </c>
      <c r="Q17" s="503">
        <f>Medicare!Q10</f>
        <v>917.6</v>
      </c>
      <c r="R17" s="503">
        <f>Medicare!R10</f>
        <v>926.6</v>
      </c>
      <c r="S17" s="503">
        <f>Medicare!S10</f>
        <v>937.4</v>
      </c>
      <c r="T17" s="503">
        <f>Medicare!T10</f>
        <v>958.5</v>
      </c>
      <c r="U17" s="503">
        <f>Medicare!U10</f>
        <v>981.1</v>
      </c>
      <c r="V17" s="735">
        <f>Medicare!V10</f>
        <v>1001.8</v>
      </c>
      <c r="W17" s="656">
        <f>Medicare!W10</f>
        <v>1019.9</v>
      </c>
      <c r="X17" s="656">
        <f>Medicare!X10</f>
        <v>1035.3</v>
      </c>
      <c r="Y17" s="656">
        <f>Medicare!Y10</f>
        <v>1049.2</v>
      </c>
      <c r="Z17" s="656">
        <f>Medicare!Z10</f>
        <v>1067.0999999999999</v>
      </c>
      <c r="AA17" s="656">
        <f>Medicare!AA10</f>
        <v>1090.2</v>
      </c>
      <c r="AB17" s="656">
        <f>Medicare!AB10</f>
        <v>1118.5</v>
      </c>
      <c r="AC17" s="731">
        <f>Medicare!AC10</f>
        <v>1150.3</v>
      </c>
    </row>
    <row r="18" spans="1:101" ht="18" customHeight="1" x14ac:dyDescent="0.35">
      <c r="A18" t="s">
        <v>1842</v>
      </c>
      <c r="B18" s="665" t="s">
        <v>467</v>
      </c>
      <c r="C18" s="245"/>
      <c r="D18" s="588"/>
      <c r="E18" s="503"/>
      <c r="F18" s="503"/>
      <c r="G18" s="503"/>
      <c r="H18" s="503">
        <f>'Rebate Checks (expired)'!H10 +'Rebate Checks (expired)'!H11</f>
        <v>0</v>
      </c>
      <c r="I18" s="503">
        <f>'Rebate Checks (expired)'!I10 +'Rebate Checks (expired)'!I11</f>
        <v>0</v>
      </c>
      <c r="J18" s="503">
        <f>'Rebate Checks (expired)'!J10 +'Rebate Checks (expired)'!J11</f>
        <v>1078.0999999999999</v>
      </c>
      <c r="K18" s="503">
        <f>'Rebate Checks (expired)'!K10 +'Rebate Checks (expired)'!K11</f>
        <v>15.6</v>
      </c>
      <c r="L18" s="503">
        <f>'Rebate Checks (expired)'!L10 +'Rebate Checks (expired)'!L11</f>
        <v>5</v>
      </c>
      <c r="M18" s="503">
        <f>'Rebate Checks (expired)'!M10 +'Rebate Checks (expired)'!M11</f>
        <v>1933.6999999999998</v>
      </c>
      <c r="N18" s="503">
        <f>'Rebate Checks (expired)'!N10 +'Rebate Checks (expired)'!N11</f>
        <v>290.10000000000002</v>
      </c>
      <c r="O18" s="503">
        <f>'Rebate Checks (expired)'!O10 +'Rebate Checks (expired)'!O11</f>
        <v>38.9</v>
      </c>
      <c r="P18" s="503">
        <f>'Rebate Checks (expired)'!P10 +'Rebate Checks (expired)'!P11</f>
        <v>14.2</v>
      </c>
      <c r="Q18" s="503">
        <f>'Rebate Checks (expired)'!Q10 +'Rebate Checks (expired)'!Q11</f>
        <v>0</v>
      </c>
      <c r="R18" s="503">
        <f>'Rebate Checks (expired)'!Q10 +'Rebate Checks (expired)'!R11</f>
        <v>0</v>
      </c>
      <c r="S18" s="503">
        <f>'Rebate Checks (expired)'!S10 +'Rebate Checks (expired)'!S11</f>
        <v>0</v>
      </c>
      <c r="T18" s="503">
        <f>'Rebate Checks (expired)'!T10 +'Rebate Checks (expired)'!T11</f>
        <v>0</v>
      </c>
      <c r="U18" s="503">
        <f>'Rebate Checks (expired)'!U10 +'Rebate Checks (expired)'!U11</f>
        <v>0</v>
      </c>
      <c r="V18" s="735">
        <f>V19+V20</f>
        <v>0</v>
      </c>
      <c r="W18" s="656">
        <f>'Rebate Checks (expired)'!W10 +'Rebate Checks (expired)'!W11</f>
        <v>0</v>
      </c>
      <c r="X18" s="656">
        <f>'Rebate Checks (expired)'!X10 +'Rebate Checks (expired)'!X11</f>
        <v>0</v>
      </c>
      <c r="Y18" s="656">
        <f>'Rebate Checks (expired)'!Y10 +'Rebate Checks (expired)'!Y11</f>
        <v>0</v>
      </c>
      <c r="Z18" s="656">
        <f>'Rebate Checks (expired)'!Z10 +'Rebate Checks (expired)'!Z11</f>
        <v>0</v>
      </c>
      <c r="AA18" s="656">
        <f>'Rebate Checks (expired)'!AA10 +'Rebate Checks (expired)'!AA11</f>
        <v>0</v>
      </c>
      <c r="AB18" s="656">
        <f>'Rebate Checks (expired)'!AB10 +'Rebate Checks (expired)'!AB11</f>
        <v>0</v>
      </c>
      <c r="AC18" s="731">
        <f>'Rebate Checks (expired)'!AC10 +'Rebate Checks (expired)'!AC11</f>
        <v>0</v>
      </c>
    </row>
    <row r="19" spans="1:101" ht="18" customHeight="1" x14ac:dyDescent="0.35">
      <c r="B19" s="666" t="s">
        <v>1835</v>
      </c>
      <c r="C19" s="245"/>
      <c r="D19" s="588"/>
      <c r="E19" s="503"/>
      <c r="F19" s="503"/>
      <c r="G19" s="503"/>
      <c r="H19" s="503"/>
      <c r="I19" s="503"/>
      <c r="J19" s="503"/>
      <c r="K19" s="503"/>
      <c r="L19" s="503"/>
      <c r="M19" s="503"/>
      <c r="N19" s="503"/>
      <c r="O19" s="503"/>
      <c r="P19" s="503"/>
      <c r="Q19" s="503"/>
      <c r="R19" s="503"/>
      <c r="S19" s="503"/>
      <c r="T19" s="503"/>
      <c r="U19" s="503"/>
      <c r="V19" s="503">
        <v>0</v>
      </c>
      <c r="W19" s="656"/>
      <c r="X19" s="656"/>
      <c r="Y19" s="656"/>
      <c r="Z19" s="656"/>
      <c r="AA19" s="656"/>
      <c r="AB19" s="656"/>
      <c r="AC19" s="731"/>
    </row>
    <row r="20" spans="1:101" ht="18" customHeight="1" x14ac:dyDescent="0.35">
      <c r="B20" s="666" t="s">
        <v>1836</v>
      </c>
      <c r="C20" s="245"/>
      <c r="D20" s="588"/>
      <c r="E20" s="503"/>
      <c r="F20" s="503"/>
      <c r="G20" s="503"/>
      <c r="H20" s="503"/>
      <c r="I20" s="503"/>
      <c r="J20" s="503"/>
      <c r="K20" s="503"/>
      <c r="L20" s="503"/>
      <c r="M20" s="503"/>
      <c r="N20" s="503"/>
      <c r="O20" s="503"/>
      <c r="P20" s="503"/>
      <c r="Q20" s="503"/>
      <c r="R20" s="503"/>
      <c r="S20" s="503"/>
      <c r="T20" s="503"/>
      <c r="U20" s="503"/>
      <c r="V20" s="503">
        <v>0</v>
      </c>
      <c r="W20" s="656"/>
      <c r="X20" s="656"/>
      <c r="Y20" s="656"/>
      <c r="Z20" s="656"/>
      <c r="AA20" s="656"/>
      <c r="AB20" s="656"/>
      <c r="AC20" s="731"/>
    </row>
    <row r="21" spans="1:101" ht="18" customHeight="1" x14ac:dyDescent="0.35">
      <c r="A21" t="s">
        <v>1842</v>
      </c>
      <c r="B21" s="667" t="s">
        <v>49</v>
      </c>
      <c r="C21" s="245"/>
      <c r="D21" s="402">
        <f>'Provider Relief (expired)'!D11</f>
        <v>0</v>
      </c>
      <c r="E21" s="408">
        <f>'Provider Relief (expired)'!E11</f>
        <v>0</v>
      </c>
      <c r="F21" s="408">
        <f>'Provider Relief (expired)'!F11</f>
        <v>0</v>
      </c>
      <c r="G21" s="408">
        <f>'Provider Relief (expired)'!G11</f>
        <v>0</v>
      </c>
      <c r="H21" s="408">
        <f>'Provider Relief (expired)'!H11</f>
        <v>0</v>
      </c>
      <c r="I21" s="408">
        <f>'Provider Relief (expired)'!I11</f>
        <v>0</v>
      </c>
      <c r="J21" s="408">
        <f>'Provider Relief (expired)'!J11</f>
        <v>160.9</v>
      </c>
      <c r="K21" s="408">
        <f>'Provider Relief (expired)'!K11</f>
        <v>58.4</v>
      </c>
      <c r="L21" s="408">
        <f>'Provider Relief (expired)'!L11</f>
        <v>34.5</v>
      </c>
      <c r="M21" s="408">
        <f>'Provider Relief (expired)'!M11</f>
        <v>21.4</v>
      </c>
      <c r="N21" s="408">
        <f>'Provider Relief (expired)'!N11</f>
        <v>13.3</v>
      </c>
      <c r="O21" s="408">
        <f>'Provider Relief (expired)'!O11</f>
        <v>18.7</v>
      </c>
      <c r="P21" s="408">
        <f>'Provider Relief (expired)'!P11</f>
        <v>32.200000000000003</v>
      </c>
      <c r="Q21" s="408">
        <f>'Provider Relief (expired)'!Q11</f>
        <v>26.9</v>
      </c>
      <c r="R21" s="408">
        <f>'Provider Relief (expired)'!R11</f>
        <v>20</v>
      </c>
      <c r="S21" s="408">
        <f>'Provider Relief (expired)'!S11</f>
        <v>8.1</v>
      </c>
      <c r="T21" s="408">
        <f>'Provider Relief (expired)'!T11</f>
        <v>4.9000000000000004</v>
      </c>
      <c r="U21" s="408">
        <v>0</v>
      </c>
      <c r="V21" s="735">
        <v>0</v>
      </c>
      <c r="W21" s="656">
        <v>0</v>
      </c>
      <c r="X21" s="656">
        <v>0</v>
      </c>
      <c r="Y21" s="656">
        <v>0</v>
      </c>
      <c r="Z21" s="656">
        <v>0</v>
      </c>
      <c r="AA21" s="656">
        <v>0</v>
      </c>
      <c r="AB21" s="656">
        <v>0</v>
      </c>
      <c r="AC21" s="731">
        <v>0</v>
      </c>
    </row>
    <row r="22" spans="1:101" ht="21.65" customHeight="1" x14ac:dyDescent="0.35">
      <c r="B22" s="429" t="s">
        <v>468</v>
      </c>
      <c r="C22" s="245"/>
      <c r="D22" s="588"/>
      <c r="E22" s="503"/>
      <c r="F22" s="503"/>
      <c r="G22" s="503"/>
      <c r="H22" s="503"/>
      <c r="I22" s="503"/>
      <c r="J22" s="503">
        <f>'PPP (expired)'!J53</f>
        <v>57.2</v>
      </c>
      <c r="K22" s="503">
        <f>'PPP (expired)'!K53</f>
        <v>81.2</v>
      </c>
      <c r="L22" s="503">
        <f>'PPP (expired)'!L53</f>
        <v>24.4</v>
      </c>
      <c r="M22" s="503">
        <f>'PPP (expired)'!M53</f>
        <v>11.7</v>
      </c>
      <c r="N22" s="503">
        <f>'PPP (expired)'!N53</f>
        <v>28.5</v>
      </c>
      <c r="O22" s="503">
        <f>'PPP (expired)'!O53</f>
        <v>18.8</v>
      </c>
      <c r="P22" s="503">
        <f>'PPP (expired)'!P53</f>
        <v>1.6</v>
      </c>
      <c r="Q22" s="503">
        <f>'PPP (expired)'!Q53</f>
        <v>0</v>
      </c>
      <c r="R22" s="503">
        <f>'PPP (expired)'!R53</f>
        <v>0</v>
      </c>
      <c r="S22" s="503">
        <f>'PPP (expired)'!S53</f>
        <v>0</v>
      </c>
      <c r="T22" s="503">
        <f>'PPP (expired)'!T53</f>
        <v>0</v>
      </c>
      <c r="U22" s="503">
        <f>'PPP (expired)'!U53</f>
        <v>0</v>
      </c>
      <c r="V22" s="503">
        <f>'PPP (expired)'!V53</f>
        <v>0</v>
      </c>
      <c r="W22" s="656">
        <f>'PPP (expired)'!W53</f>
        <v>0</v>
      </c>
      <c r="X22" s="656">
        <f>'PPP (expired)'!X53</f>
        <v>0</v>
      </c>
      <c r="Y22" s="656">
        <f>'PPP (expired)'!Y53</f>
        <v>0</v>
      </c>
      <c r="Z22" s="656">
        <f>'PPP (expired)'!Z53</f>
        <v>0</v>
      </c>
      <c r="AA22" s="656">
        <f>'PPP (expired)'!AA53</f>
        <v>0</v>
      </c>
      <c r="AB22" s="656">
        <f>'PPP (expired)'!AB53</f>
        <v>0</v>
      </c>
      <c r="AC22" s="656">
        <f>'PPP (expired)'!AC53</f>
        <v>0</v>
      </c>
    </row>
    <row r="23" spans="1:101" ht="22.4" customHeight="1" x14ac:dyDescent="0.35">
      <c r="B23" s="429" t="s">
        <v>218</v>
      </c>
      <c r="C23" s="672"/>
      <c r="D23" s="402"/>
      <c r="E23" s="408"/>
      <c r="F23" s="408"/>
      <c r="G23" s="408"/>
      <c r="H23" s="408"/>
      <c r="I23" s="408"/>
      <c r="J23" s="408"/>
      <c r="K23" s="408"/>
      <c r="L23" s="408"/>
      <c r="M23" s="503">
        <f>'ARP Quarterly'!C4</f>
        <v>0</v>
      </c>
      <c r="N23" s="503">
        <f>'ARP Quarterly'!D4</f>
        <v>0</v>
      </c>
      <c r="O23" s="503">
        <f>'ARP Quarterly'!E4</f>
        <v>3.1040000000000418</v>
      </c>
      <c r="P23" s="503">
        <f>'ARP Quarterly'!F4</f>
        <v>19.719000000000005</v>
      </c>
      <c r="Q23" s="503">
        <f>'ARP Quarterly'!G4</f>
        <v>19.719000000000005</v>
      </c>
      <c r="R23" s="503">
        <f>'ARP Quarterly'!H4</f>
        <v>19.719000000000005</v>
      </c>
      <c r="S23" s="503">
        <f>'ARP Quarterly'!I4</f>
        <v>19.719000000000005</v>
      </c>
      <c r="T23" s="503">
        <f>'ARP Quarterly'!J4</f>
        <v>1.4159999999999999</v>
      </c>
      <c r="U23" s="503">
        <f>'ARP Quarterly'!K4</f>
        <v>1.4159999999999999</v>
      </c>
      <c r="V23" s="503">
        <f>'ARP Quarterly'!L4</f>
        <v>1.4159999999999999</v>
      </c>
      <c r="W23" s="656">
        <f>'ARP Quarterly'!M4</f>
        <v>1.4159999999999999</v>
      </c>
      <c r="X23" s="656">
        <f>'ARP Quarterly'!N4</f>
        <v>1.4790000000000001</v>
      </c>
      <c r="Y23" s="656">
        <f>'ARP Quarterly'!O4</f>
        <v>1.4790000000000001</v>
      </c>
      <c r="Z23" s="656">
        <f>'ARP Quarterly'!P4</f>
        <v>1.4790000000000001</v>
      </c>
      <c r="AA23" s="656">
        <f>'ARP Quarterly'!Q4</f>
        <v>1.4790000000000001</v>
      </c>
      <c r="AB23" s="656">
        <f>'ARP Quarterly'!R4</f>
        <v>1.63</v>
      </c>
      <c r="AC23" s="656">
        <f>'ARP Quarterly'!S4</f>
        <v>1.63</v>
      </c>
      <c r="AE23" s="672"/>
      <c r="AF23" s="672"/>
      <c r="AG23" s="672"/>
      <c r="AH23" s="672"/>
      <c r="AI23" s="672"/>
      <c r="AJ23" s="672"/>
      <c r="AK23" s="672"/>
      <c r="AL23" s="672"/>
      <c r="AM23" s="672"/>
      <c r="AN23" s="672"/>
      <c r="AO23" s="672"/>
      <c r="AP23" s="672"/>
      <c r="AQ23" s="672"/>
      <c r="AR23" s="672"/>
      <c r="AS23" s="672"/>
      <c r="AT23" s="672"/>
      <c r="AU23" s="672"/>
      <c r="AV23" s="672"/>
      <c r="AW23" s="672"/>
      <c r="AX23" s="672"/>
      <c r="AY23" s="672"/>
      <c r="AZ23" s="672"/>
      <c r="BA23" s="672"/>
      <c r="BB23" s="672"/>
      <c r="BC23" s="672"/>
      <c r="BD23" s="672"/>
      <c r="BE23" s="672"/>
      <c r="BF23" s="672"/>
      <c r="BG23" s="672"/>
      <c r="BH23" s="672"/>
      <c r="BI23" s="672"/>
      <c r="BJ23" s="672"/>
      <c r="BK23" s="672"/>
      <c r="BL23" s="672"/>
      <c r="BM23" s="672"/>
      <c r="BN23" s="672"/>
      <c r="BO23" s="672"/>
      <c r="BP23" s="672"/>
      <c r="BQ23" s="672"/>
      <c r="BR23" s="672"/>
      <c r="BS23" s="672"/>
      <c r="BT23" s="672"/>
      <c r="BU23" s="672"/>
      <c r="BV23" s="672"/>
      <c r="BW23" s="672"/>
      <c r="BX23" s="672"/>
      <c r="BY23" s="672"/>
      <c r="BZ23" s="672"/>
      <c r="CA23" s="672"/>
      <c r="CB23" s="672"/>
      <c r="CC23" s="672"/>
      <c r="CD23" s="672"/>
      <c r="CE23" s="672"/>
      <c r="CF23" s="672"/>
      <c r="CG23" s="672"/>
      <c r="CH23" s="672"/>
      <c r="CI23" s="672"/>
      <c r="CJ23" s="672"/>
      <c r="CK23" s="672"/>
      <c r="CL23" s="672"/>
      <c r="CM23" s="672"/>
      <c r="CN23" s="672"/>
      <c r="CO23" s="672"/>
      <c r="CP23" s="672"/>
      <c r="CQ23" s="672"/>
      <c r="CR23" s="672"/>
      <c r="CS23" s="672"/>
      <c r="CT23" s="672"/>
      <c r="CU23" s="672"/>
      <c r="CV23" s="672"/>
      <c r="CW23" s="672"/>
    </row>
    <row r="24" spans="1:101" ht="36.65" customHeight="1" x14ac:dyDescent="0.35">
      <c r="B24" s="252" t="s">
        <v>1427</v>
      </c>
      <c r="C24" s="245"/>
      <c r="D24" s="588">
        <f>D85</f>
        <v>0</v>
      </c>
      <c r="E24" s="503">
        <f t="shared" ref="E24:AC24" si="1">E85</f>
        <v>0</v>
      </c>
      <c r="F24" s="503">
        <f t="shared" si="1"/>
        <v>0</v>
      </c>
      <c r="G24" s="503">
        <f t="shared" si="1"/>
        <v>0</v>
      </c>
      <c r="H24" s="503">
        <f t="shared" si="1"/>
        <v>0</v>
      </c>
      <c r="I24" s="503">
        <f t="shared" si="1"/>
        <v>6.9120000000000061</v>
      </c>
      <c r="J24" s="503">
        <f t="shared" si="1"/>
        <v>50.955000000000005</v>
      </c>
      <c r="K24" s="503">
        <f t="shared" si="1"/>
        <v>51.173999999999999</v>
      </c>
      <c r="L24" s="503">
        <f t="shared" si="1"/>
        <v>51.893999999999998</v>
      </c>
      <c r="M24" s="503">
        <f t="shared" si="1"/>
        <v>91.075000000000017</v>
      </c>
      <c r="N24" s="503">
        <f t="shared" si="1"/>
        <v>100.63400000000001</v>
      </c>
      <c r="O24" s="503">
        <f t="shared" si="1"/>
        <v>93.89100000000002</v>
      </c>
      <c r="P24" s="503">
        <f t="shared" si="1"/>
        <v>100.22800000000001</v>
      </c>
      <c r="Q24" s="503">
        <f t="shared" si="1"/>
        <v>76.838999999999999</v>
      </c>
      <c r="R24" s="503">
        <f t="shared" si="1"/>
        <v>73.637</v>
      </c>
      <c r="S24" s="503">
        <f t="shared" si="1"/>
        <v>70.649000000000001</v>
      </c>
      <c r="T24" s="503">
        <f t="shared" si="1"/>
        <v>91.718000000000018</v>
      </c>
      <c r="U24" s="503">
        <f t="shared" si="1"/>
        <v>83.695999999999998</v>
      </c>
      <c r="V24" s="503">
        <f t="shared" si="1"/>
        <v>51.979000000000006</v>
      </c>
      <c r="W24" s="656">
        <f t="shared" si="1"/>
        <v>51.979000000000006</v>
      </c>
      <c r="X24" s="656">
        <f t="shared" si="1"/>
        <v>51.979000000000006</v>
      </c>
      <c r="Y24" s="656">
        <f t="shared" si="1"/>
        <v>51.979000000000006</v>
      </c>
      <c r="Z24" s="656">
        <f t="shared" si="1"/>
        <v>51.979000000000006</v>
      </c>
      <c r="AA24" s="656">
        <f t="shared" si="1"/>
        <v>51.979000000000006</v>
      </c>
      <c r="AB24" s="656">
        <f t="shared" si="1"/>
        <v>51.979000000000006</v>
      </c>
      <c r="AC24" s="656">
        <f t="shared" si="1"/>
        <v>51.979000000000006</v>
      </c>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M24" s="245"/>
      <c r="CN24" s="245"/>
      <c r="CO24" s="245"/>
      <c r="CP24" s="245"/>
      <c r="CQ24" s="245"/>
      <c r="CR24" s="245"/>
      <c r="CS24" s="245"/>
      <c r="CT24" s="245"/>
      <c r="CU24" s="245"/>
      <c r="CV24" s="245"/>
    </row>
    <row r="25" spans="1:101" ht="17.149999999999999" customHeight="1" x14ac:dyDescent="0.35">
      <c r="A25" t="s">
        <v>1845</v>
      </c>
      <c r="B25" s="739" t="s">
        <v>465</v>
      </c>
      <c r="C25" s="245" t="s">
        <v>466</v>
      </c>
      <c r="D25" s="503">
        <f>'Haver Pivoted'!GO31</f>
        <v>2223</v>
      </c>
      <c r="E25" s="503">
        <f>'Haver Pivoted'!GP31</f>
        <v>2303.8000000000002</v>
      </c>
      <c r="F25" s="503">
        <f>'Haver Pivoted'!GQ31</f>
        <v>2321.6999999999998</v>
      </c>
      <c r="G25" s="503">
        <f>'Haver Pivoted'!GR31</f>
        <v>2337.1</v>
      </c>
      <c r="H25" s="503">
        <f>'Haver Pivoted'!GS31</f>
        <v>2349.5</v>
      </c>
      <c r="I25" s="503">
        <f>'Haver Pivoted'!GT31</f>
        <v>2414.4</v>
      </c>
      <c r="J25" s="503">
        <f>'Haver Pivoted'!GU31</f>
        <v>4654.1000000000004</v>
      </c>
      <c r="K25" s="503">
        <f>'Haver Pivoted'!GV31</f>
        <v>3504.7</v>
      </c>
      <c r="L25" s="503">
        <f>'Haver Pivoted'!GW31</f>
        <v>2888.4</v>
      </c>
      <c r="M25" s="503">
        <f>'Haver Pivoted'!GX31</f>
        <v>5138.1000000000004</v>
      </c>
      <c r="N25" s="503">
        <f>'Haver Pivoted'!GY31</f>
        <v>3397.8</v>
      </c>
      <c r="O25" s="503">
        <f>'Haver Pivoted'!GZ31</f>
        <v>3124.9</v>
      </c>
      <c r="P25" s="503">
        <f>'Haver Pivoted'!HA31</f>
        <v>2952.6</v>
      </c>
      <c r="Q25" s="503">
        <f>'Haver Pivoted'!HB31</f>
        <v>2970.9</v>
      </c>
      <c r="R25" s="503">
        <f>'Haver Pivoted'!HC31</f>
        <v>2976.2</v>
      </c>
      <c r="S25" s="503">
        <f>'Haver Pivoted'!HD31</f>
        <v>2970.4</v>
      </c>
      <c r="T25" s="503">
        <f>'Haver Pivoted'!HE31</f>
        <v>3024.4</v>
      </c>
      <c r="U25" s="503">
        <f>'Haver Pivoted'!HF31</f>
        <v>3038.4</v>
      </c>
      <c r="V25" s="503">
        <f>'Haver Pivoted'!HG31</f>
        <v>3049.1</v>
      </c>
      <c r="W25" s="656"/>
      <c r="X25" s="656"/>
      <c r="Y25" s="656"/>
      <c r="Z25" s="656"/>
      <c r="AA25" s="656"/>
      <c r="AB25" s="656"/>
      <c r="AC25" s="656"/>
    </row>
    <row r="26" spans="1:101" ht="17.149999999999999" customHeight="1" x14ac:dyDescent="0.35">
      <c r="B26" s="265" t="s">
        <v>1844</v>
      </c>
      <c r="C26" s="245"/>
      <c r="D26" s="503">
        <f>D27+D28</f>
        <v>812.1</v>
      </c>
      <c r="E26" s="503">
        <f t="shared" ref="E26:V26" si="2">E27+E28</f>
        <v>833.1</v>
      </c>
      <c r="F26" s="503">
        <f t="shared" si="2"/>
        <v>845.8</v>
      </c>
      <c r="G26" s="503">
        <f t="shared" si="2"/>
        <v>854.4</v>
      </c>
      <c r="H26" s="503">
        <f t="shared" si="2"/>
        <v>858.7</v>
      </c>
      <c r="I26" s="503">
        <f t="shared" si="2"/>
        <v>878.91200000000003</v>
      </c>
      <c r="J26" s="503">
        <f t="shared" si="2"/>
        <v>2982.0549999999998</v>
      </c>
      <c r="K26" s="503">
        <f t="shared" si="2"/>
        <v>1804.7740000000001</v>
      </c>
      <c r="L26" s="503">
        <f t="shared" si="2"/>
        <v>1272.9939999999999</v>
      </c>
      <c r="M26" s="503">
        <f>M27+M28</f>
        <v>3509.5749999999998</v>
      </c>
      <c r="N26" s="503">
        <f t="shared" si="2"/>
        <v>1765.634</v>
      </c>
      <c r="O26" s="503">
        <f t="shared" si="2"/>
        <v>1473.5283333333332</v>
      </c>
      <c r="P26" s="503">
        <f t="shared" si="2"/>
        <v>1293.0803333333331</v>
      </c>
      <c r="Q26" s="503">
        <f t="shared" si="2"/>
        <v>1132.9580000000001</v>
      </c>
      <c r="R26" s="503">
        <f t="shared" si="2"/>
        <v>1135.9559999999999</v>
      </c>
      <c r="S26" s="503">
        <f t="shared" si="2"/>
        <v>1145.1679999999999</v>
      </c>
      <c r="T26" s="503">
        <f t="shared" si="2"/>
        <v>1171.8340000000001</v>
      </c>
      <c r="U26" s="503">
        <f t="shared" si="2"/>
        <v>1130.3120000000001</v>
      </c>
      <c r="V26" s="503">
        <f t="shared" si="2"/>
        <v>1120.155</v>
      </c>
      <c r="W26" s="656">
        <f>W27+W28</f>
        <v>53.395000000000003</v>
      </c>
      <c r="X26" s="656">
        <f t="shared" ref="X26" si="3">X27+X28</f>
        <v>53.458000000000006</v>
      </c>
      <c r="Y26" s="656">
        <f t="shared" ref="Y26" si="4">Y27+Y28</f>
        <v>53.458000000000006</v>
      </c>
      <c r="Z26" s="656">
        <f t="shared" ref="Z26" si="5">Z27+Z28</f>
        <v>53.458000000000006</v>
      </c>
      <c r="AA26" s="656">
        <f t="shared" ref="AA26" si="6">AA27+AA28</f>
        <v>53.458000000000006</v>
      </c>
      <c r="AB26" s="656">
        <f t="shared" ref="AB26" si="7">AB27+AB28</f>
        <v>53.609000000000009</v>
      </c>
      <c r="AC26" s="656">
        <f t="shared" ref="AC26" si="8">AC27+AC28</f>
        <v>53.609000000000009</v>
      </c>
    </row>
    <row r="27" spans="1:101" ht="17.149999999999999" customHeight="1" x14ac:dyDescent="0.35">
      <c r="B27" s="421" t="s">
        <v>1843</v>
      </c>
      <c r="C27" s="245"/>
      <c r="D27" s="588">
        <f t="shared" ref="D27:V27" si="9">D13+D14+D17</f>
        <v>812.1</v>
      </c>
      <c r="E27" s="503">
        <f t="shared" si="9"/>
        <v>833.1</v>
      </c>
      <c r="F27" s="503">
        <f t="shared" si="9"/>
        <v>845.8</v>
      </c>
      <c r="G27" s="503">
        <f t="shared" si="9"/>
        <v>854.4</v>
      </c>
      <c r="H27" s="503">
        <f t="shared" si="9"/>
        <v>858.7</v>
      </c>
      <c r="I27" s="503">
        <f t="shared" si="9"/>
        <v>872</v>
      </c>
      <c r="J27" s="503">
        <f t="shared" si="9"/>
        <v>1795.8</v>
      </c>
      <c r="K27" s="503">
        <f t="shared" si="9"/>
        <v>1656.8000000000002</v>
      </c>
      <c r="L27" s="503">
        <f t="shared" si="9"/>
        <v>1191.6999999999998</v>
      </c>
      <c r="M27" s="503">
        <f t="shared" si="9"/>
        <v>1473.1</v>
      </c>
      <c r="N27" s="503">
        <f t="shared" si="9"/>
        <v>1346.4</v>
      </c>
      <c r="O27" s="503">
        <f t="shared" si="9"/>
        <v>1318.833333333333</v>
      </c>
      <c r="P27" s="503">
        <f t="shared" si="9"/>
        <v>1157.333333333333</v>
      </c>
      <c r="Q27" s="503">
        <f t="shared" si="9"/>
        <v>1036.4000000000001</v>
      </c>
      <c r="R27" s="503">
        <f t="shared" si="9"/>
        <v>1042.5999999999999</v>
      </c>
      <c r="S27" s="503">
        <f t="shared" si="9"/>
        <v>1054.8</v>
      </c>
      <c r="T27" s="503">
        <f t="shared" si="9"/>
        <v>1078.7</v>
      </c>
      <c r="U27" s="503">
        <f t="shared" si="9"/>
        <v>1045.2</v>
      </c>
      <c r="V27" s="503">
        <f t="shared" si="9"/>
        <v>1066.76</v>
      </c>
      <c r="W27" s="656"/>
      <c r="X27" s="656"/>
      <c r="Y27" s="656"/>
      <c r="Z27" s="656"/>
      <c r="AA27" s="656"/>
      <c r="AB27" s="656"/>
      <c r="AC27" s="731"/>
    </row>
    <row r="28" spans="1:101" ht="28.5" customHeight="1" x14ac:dyDescent="0.35">
      <c r="B28" s="421" t="s">
        <v>1840</v>
      </c>
      <c r="C28" s="245"/>
      <c r="D28" s="402">
        <f t="shared" ref="D28:AC28" si="10">D18+D23+D24+D22</f>
        <v>0</v>
      </c>
      <c r="E28" s="408">
        <f t="shared" si="10"/>
        <v>0</v>
      </c>
      <c r="F28" s="408">
        <f t="shared" si="10"/>
        <v>0</v>
      </c>
      <c r="G28" s="408">
        <f t="shared" si="10"/>
        <v>0</v>
      </c>
      <c r="H28" s="408">
        <f t="shared" si="10"/>
        <v>0</v>
      </c>
      <c r="I28" s="408">
        <f t="shared" si="10"/>
        <v>6.9120000000000061</v>
      </c>
      <c r="J28" s="408">
        <f t="shared" si="10"/>
        <v>1186.2549999999999</v>
      </c>
      <c r="K28" s="408">
        <f t="shared" si="10"/>
        <v>147.97399999999999</v>
      </c>
      <c r="L28" s="408">
        <f t="shared" si="10"/>
        <v>81.293999999999997</v>
      </c>
      <c r="M28" s="408">
        <f t="shared" si="10"/>
        <v>2036.4749999999999</v>
      </c>
      <c r="N28" s="408">
        <f t="shared" si="10"/>
        <v>419.23400000000004</v>
      </c>
      <c r="O28" s="408">
        <f t="shared" si="10"/>
        <v>154.69500000000008</v>
      </c>
      <c r="P28" s="408">
        <f t="shared" si="10"/>
        <v>135.74700000000001</v>
      </c>
      <c r="Q28" s="408">
        <f t="shared" si="10"/>
        <v>96.558000000000007</v>
      </c>
      <c r="R28" s="408">
        <f t="shared" si="10"/>
        <v>93.356000000000009</v>
      </c>
      <c r="S28" s="408">
        <f t="shared" si="10"/>
        <v>90.368000000000009</v>
      </c>
      <c r="T28" s="408">
        <f t="shared" si="10"/>
        <v>93.134000000000015</v>
      </c>
      <c r="U28" s="408">
        <f t="shared" si="10"/>
        <v>85.111999999999995</v>
      </c>
      <c r="V28" s="408">
        <f t="shared" si="10"/>
        <v>53.395000000000003</v>
      </c>
      <c r="W28" s="358">
        <f t="shared" si="10"/>
        <v>53.395000000000003</v>
      </c>
      <c r="X28" s="358">
        <f t="shared" si="10"/>
        <v>53.458000000000006</v>
      </c>
      <c r="Y28" s="358">
        <f t="shared" si="10"/>
        <v>53.458000000000006</v>
      </c>
      <c r="Z28" s="358">
        <f t="shared" si="10"/>
        <v>53.458000000000006</v>
      </c>
      <c r="AA28" s="358">
        <f t="shared" si="10"/>
        <v>53.458000000000006</v>
      </c>
      <c r="AB28" s="358">
        <f t="shared" si="10"/>
        <v>53.609000000000009</v>
      </c>
      <c r="AC28" s="358">
        <f t="shared" si="10"/>
        <v>53.609000000000009</v>
      </c>
    </row>
    <row r="29" spans="1:101" x14ac:dyDescent="0.35">
      <c r="B29" s="429" t="s">
        <v>1846</v>
      </c>
      <c r="C29" s="245"/>
      <c r="D29" s="408">
        <f>D25-D26</f>
        <v>1410.9</v>
      </c>
      <c r="E29" s="408">
        <f t="shared" ref="E29:V29" si="11">E25-E26</f>
        <v>1470.7000000000003</v>
      </c>
      <c r="F29" s="408">
        <f t="shared" si="11"/>
        <v>1475.8999999999999</v>
      </c>
      <c r="G29" s="408">
        <f t="shared" si="11"/>
        <v>1482.6999999999998</v>
      </c>
      <c r="H29" s="408">
        <f t="shared" si="11"/>
        <v>1490.8</v>
      </c>
      <c r="I29" s="408">
        <f t="shared" si="11"/>
        <v>1535.4880000000001</v>
      </c>
      <c r="J29" s="408">
        <f t="shared" si="11"/>
        <v>1672.0450000000005</v>
      </c>
      <c r="K29" s="408">
        <f t="shared" si="11"/>
        <v>1699.9259999999997</v>
      </c>
      <c r="L29" s="408">
        <f t="shared" si="11"/>
        <v>1615.4060000000002</v>
      </c>
      <c r="M29" s="408">
        <f t="shared" si="11"/>
        <v>1628.5250000000005</v>
      </c>
      <c r="N29" s="408">
        <f t="shared" si="11"/>
        <v>1632.1660000000002</v>
      </c>
      <c r="O29" s="408">
        <f t="shared" si="11"/>
        <v>1651.3716666666669</v>
      </c>
      <c r="P29" s="408">
        <f t="shared" si="11"/>
        <v>1659.5196666666668</v>
      </c>
      <c r="Q29" s="408">
        <f t="shared" si="11"/>
        <v>1837.942</v>
      </c>
      <c r="R29" s="408">
        <f t="shared" si="11"/>
        <v>1840.2439999999999</v>
      </c>
      <c r="S29" s="408">
        <f t="shared" si="11"/>
        <v>1825.2320000000002</v>
      </c>
      <c r="T29" s="408">
        <f t="shared" si="11"/>
        <v>1852.566</v>
      </c>
      <c r="U29" s="408">
        <f t="shared" si="11"/>
        <v>1908.088</v>
      </c>
      <c r="V29" s="408">
        <f t="shared" si="11"/>
        <v>1928.9449999999999</v>
      </c>
      <c r="W29" s="358"/>
      <c r="X29" s="358"/>
      <c r="Y29" s="358"/>
      <c r="Z29" s="358"/>
      <c r="AA29" s="358"/>
      <c r="AB29" s="358"/>
      <c r="AC29" s="358"/>
    </row>
    <row r="30" spans="1:101" ht="18" customHeight="1" x14ac:dyDescent="0.35">
      <c r="B30" s="287" t="s">
        <v>1837</v>
      </c>
      <c r="C30" s="245"/>
      <c r="D30" s="271"/>
      <c r="E30" s="241"/>
      <c r="F30" s="241"/>
      <c r="G30" s="241"/>
      <c r="H30" s="241"/>
      <c r="I30" s="241"/>
      <c r="J30" s="241"/>
      <c r="K30" s="241"/>
      <c r="L30" s="241"/>
      <c r="M30" s="241"/>
      <c r="N30" s="241"/>
      <c r="O30" s="241"/>
      <c r="P30" s="241"/>
      <c r="Q30" s="241"/>
      <c r="R30" s="241"/>
      <c r="S30" s="241"/>
      <c r="T30" s="241"/>
      <c r="U30" s="241"/>
      <c r="V30" s="503"/>
      <c r="W30" s="656"/>
      <c r="X30" s="656"/>
      <c r="Y30" s="656"/>
      <c r="Z30" s="656"/>
      <c r="AA30" s="656"/>
      <c r="AB30" s="656"/>
      <c r="AC30" s="731"/>
    </row>
    <row r="31" spans="1:101" ht="18" customHeight="1" x14ac:dyDescent="0.35">
      <c r="B31" s="287" t="s">
        <v>1838</v>
      </c>
      <c r="C31" s="245"/>
      <c r="D31" s="271"/>
      <c r="E31" s="241"/>
      <c r="F31" s="241"/>
      <c r="G31" s="241"/>
      <c r="H31" s="241"/>
      <c r="I31" s="241"/>
      <c r="J31" s="241"/>
      <c r="K31" s="241"/>
      <c r="L31" s="241"/>
      <c r="M31" s="241"/>
      <c r="N31" s="241"/>
      <c r="O31" s="241"/>
      <c r="P31" s="241"/>
      <c r="Q31" s="241"/>
      <c r="R31" s="241"/>
      <c r="S31" s="241"/>
      <c r="T31" s="241"/>
      <c r="U31" s="241"/>
      <c r="V31" s="503"/>
      <c r="W31" s="656"/>
      <c r="X31" s="656"/>
      <c r="Y31" s="656"/>
      <c r="Z31" s="656"/>
      <c r="AA31" s="656"/>
      <c r="AB31" s="656"/>
      <c r="AC31" s="731"/>
    </row>
    <row r="32" spans="1:101" ht="20.149999999999999" customHeight="1" x14ac:dyDescent="0.35">
      <c r="B32" s="268" t="s">
        <v>470</v>
      </c>
      <c r="C32" s="263"/>
      <c r="D32" s="704"/>
      <c r="E32" s="626"/>
      <c r="F32" s="626"/>
      <c r="G32" s="626"/>
      <c r="H32" s="560"/>
      <c r="I32" s="560"/>
      <c r="J32" s="560"/>
      <c r="K32" s="560"/>
      <c r="L32" s="560"/>
      <c r="M32" s="560">
        <f>'ARP Quarterly'!C5</f>
        <v>0</v>
      </c>
      <c r="N32" s="560">
        <f>'ARP Quarterly'!D5</f>
        <v>33.921840000000024</v>
      </c>
      <c r="O32" s="560">
        <f>'ARP Quarterly'!E5</f>
        <v>44.966160000000031</v>
      </c>
      <c r="P32" s="560">
        <f>'ARP Quarterly'!F5</f>
        <v>52.756999999999998</v>
      </c>
      <c r="Q32" s="560">
        <f>'ARP Quarterly'!G5</f>
        <v>52.756999999999998</v>
      </c>
      <c r="R32" s="560">
        <f>'ARP Quarterly'!H5</f>
        <v>52.756999999999998</v>
      </c>
      <c r="S32" s="560">
        <f>'ARP Quarterly'!I5</f>
        <v>52.756999999999998</v>
      </c>
      <c r="T32" s="560">
        <v>30</v>
      </c>
      <c r="U32" s="560">
        <f>'ARP Quarterly'!K5</f>
        <v>12</v>
      </c>
      <c r="V32" s="736">
        <f>'ARP Quarterly'!L5</f>
        <v>12</v>
      </c>
      <c r="W32" s="562">
        <f>'ARP Quarterly'!M5</f>
        <v>12</v>
      </c>
      <c r="X32" s="562">
        <f>'ARP Quarterly'!N5</f>
        <v>4.2219999999999995</v>
      </c>
      <c r="Y32" s="562">
        <f>'ARP Quarterly'!O5</f>
        <v>4.2219999999999995</v>
      </c>
      <c r="Z32" s="562">
        <f>'ARP Quarterly'!P5</f>
        <v>4.2219999999999995</v>
      </c>
      <c r="AA32" s="562">
        <f>'ARP Quarterly'!Q5</f>
        <v>4.2219999999999995</v>
      </c>
      <c r="AB32" s="562">
        <f>'ARP Quarterly'!R5</f>
        <v>2.3719999999999999</v>
      </c>
      <c r="AC32" s="728">
        <f>'ARP Quarterly'!S5</f>
        <v>2.3719999999999999</v>
      </c>
    </row>
    <row r="33" spans="2:101" ht="22.4" customHeight="1" x14ac:dyDescent="0.35">
      <c r="B33" s="252" t="s">
        <v>218</v>
      </c>
      <c r="C33" s="672"/>
      <c r="D33" s="271"/>
      <c r="E33" s="241"/>
      <c r="F33" s="241"/>
      <c r="G33" s="241"/>
      <c r="H33" s="241"/>
      <c r="I33" s="241"/>
      <c r="J33" s="241"/>
      <c r="K33" s="241"/>
      <c r="L33" s="241"/>
      <c r="M33" s="503">
        <f>'ARP Quarterly'!C4</f>
        <v>0</v>
      </c>
      <c r="N33" s="503">
        <f>'ARP Quarterly'!D4</f>
        <v>0</v>
      </c>
      <c r="O33" s="503">
        <f>'ARP Quarterly'!E4</f>
        <v>3.1040000000000418</v>
      </c>
      <c r="P33" s="503">
        <f>'ARP Quarterly'!F4</f>
        <v>19.719000000000005</v>
      </c>
      <c r="Q33" s="503">
        <f>'ARP Quarterly'!G4</f>
        <v>19.719000000000005</v>
      </c>
      <c r="R33" s="503">
        <f>'ARP Quarterly'!H4</f>
        <v>19.719000000000005</v>
      </c>
      <c r="S33" s="503">
        <f>'ARP Quarterly'!I4</f>
        <v>19.719000000000005</v>
      </c>
      <c r="T33" s="503">
        <f>'ARP Quarterly'!J4</f>
        <v>1.4159999999999999</v>
      </c>
      <c r="U33" s="503">
        <f>'ARP Quarterly'!K4</f>
        <v>1.4159999999999999</v>
      </c>
      <c r="V33" s="503">
        <f>'ARP Quarterly'!L4</f>
        <v>1.4159999999999999</v>
      </c>
      <c r="W33" s="656">
        <f>'ARP Quarterly'!M4</f>
        <v>1.4159999999999999</v>
      </c>
      <c r="X33" s="656">
        <f>'ARP Quarterly'!N4</f>
        <v>1.4790000000000001</v>
      </c>
      <c r="Y33" s="656">
        <f>'ARP Quarterly'!O4</f>
        <v>1.4790000000000001</v>
      </c>
      <c r="Z33" s="656">
        <f>'ARP Quarterly'!P4</f>
        <v>1.4790000000000001</v>
      </c>
      <c r="AA33" s="656">
        <f>'ARP Quarterly'!Q4</f>
        <v>1.4790000000000001</v>
      </c>
      <c r="AB33" s="656">
        <f>'ARP Quarterly'!R4</f>
        <v>1.63</v>
      </c>
      <c r="AC33" s="731">
        <f>'ARP Quarterly'!S4</f>
        <v>1.63</v>
      </c>
      <c r="AE33" s="672"/>
      <c r="AF33" s="672"/>
      <c r="AG33" s="672"/>
      <c r="AH33" s="672"/>
      <c r="AI33" s="672"/>
      <c r="AJ33" s="672"/>
      <c r="AK33" s="672"/>
      <c r="AL33" s="672"/>
      <c r="AM33" s="672"/>
      <c r="AN33" s="672"/>
      <c r="AO33" s="672"/>
      <c r="AP33" s="672"/>
      <c r="AQ33" s="672"/>
      <c r="AR33" s="672"/>
      <c r="AS33" s="672"/>
      <c r="AT33" s="672"/>
      <c r="AU33" s="672"/>
      <c r="AV33" s="672"/>
      <c r="AW33" s="672"/>
      <c r="AX33" s="672"/>
      <c r="AY33" s="672"/>
      <c r="AZ33" s="672"/>
      <c r="BA33" s="672"/>
      <c r="BB33" s="672"/>
      <c r="BC33" s="672"/>
      <c r="BD33" s="672"/>
      <c r="BE33" s="672"/>
      <c r="BF33" s="672"/>
      <c r="BG33" s="672"/>
      <c r="BH33" s="672"/>
      <c r="BI33" s="672"/>
      <c r="BJ33" s="672"/>
      <c r="BK33" s="672"/>
      <c r="BL33" s="672"/>
      <c r="BM33" s="672"/>
      <c r="BN33" s="672"/>
      <c r="BO33" s="672"/>
      <c r="BP33" s="672"/>
      <c r="BQ33" s="672"/>
      <c r="BR33" s="672"/>
      <c r="BS33" s="672"/>
      <c r="BT33" s="672"/>
      <c r="BU33" s="672"/>
      <c r="BV33" s="672"/>
      <c r="BW33" s="672"/>
      <c r="BX33" s="672"/>
      <c r="BY33" s="672"/>
      <c r="BZ33" s="672"/>
      <c r="CA33" s="672"/>
      <c r="CB33" s="672"/>
      <c r="CC33" s="672"/>
      <c r="CD33" s="672"/>
      <c r="CE33" s="672"/>
      <c r="CF33" s="672"/>
      <c r="CG33" s="672"/>
      <c r="CH33" s="672"/>
      <c r="CI33" s="672"/>
      <c r="CJ33" s="672"/>
      <c r="CK33" s="672"/>
      <c r="CL33" s="672"/>
      <c r="CM33" s="672"/>
      <c r="CN33" s="672"/>
      <c r="CO33" s="672"/>
      <c r="CP33" s="672"/>
      <c r="CQ33" s="672"/>
      <c r="CR33" s="672"/>
      <c r="CS33" s="672"/>
      <c r="CT33" s="672"/>
      <c r="CU33" s="672"/>
      <c r="CV33" s="672"/>
      <c r="CW33" s="672"/>
    </row>
    <row r="34" spans="2:101" ht="36.65" customHeight="1" x14ac:dyDescent="0.35">
      <c r="B34" s="252" t="s">
        <v>1427</v>
      </c>
      <c r="C34" s="245"/>
      <c r="D34" s="272">
        <f>D85</f>
        <v>0</v>
      </c>
      <c r="E34" s="229">
        <f t="shared" ref="E34:AC34" si="12">E85</f>
        <v>0</v>
      </c>
      <c r="F34" s="229">
        <f t="shared" si="12"/>
        <v>0</v>
      </c>
      <c r="G34" s="229">
        <f t="shared" si="12"/>
        <v>0</v>
      </c>
      <c r="H34" s="229">
        <f t="shared" si="12"/>
        <v>0</v>
      </c>
      <c r="I34" s="503">
        <f t="shared" si="12"/>
        <v>6.9120000000000061</v>
      </c>
      <c r="J34" s="503">
        <f t="shared" si="12"/>
        <v>50.955000000000005</v>
      </c>
      <c r="K34" s="503">
        <f t="shared" si="12"/>
        <v>51.173999999999999</v>
      </c>
      <c r="L34" s="503">
        <f t="shared" si="12"/>
        <v>51.893999999999998</v>
      </c>
      <c r="M34" s="503">
        <f t="shared" si="12"/>
        <v>91.075000000000017</v>
      </c>
      <c r="N34" s="503">
        <f t="shared" si="12"/>
        <v>100.63400000000001</v>
      </c>
      <c r="O34" s="503">
        <f t="shared" si="12"/>
        <v>93.89100000000002</v>
      </c>
      <c r="P34" s="503">
        <f t="shared" si="12"/>
        <v>100.22800000000001</v>
      </c>
      <c r="Q34" s="503">
        <f t="shared" si="12"/>
        <v>76.838999999999999</v>
      </c>
      <c r="R34" s="503">
        <f t="shared" si="12"/>
        <v>73.637</v>
      </c>
      <c r="S34" s="503">
        <f t="shared" si="12"/>
        <v>70.649000000000001</v>
      </c>
      <c r="T34" s="503">
        <f t="shared" si="12"/>
        <v>91.718000000000018</v>
      </c>
      <c r="U34" s="503">
        <f t="shared" si="12"/>
        <v>83.695999999999998</v>
      </c>
      <c r="V34" s="503">
        <f>V85</f>
        <v>51.979000000000006</v>
      </c>
      <c r="W34" s="656">
        <f>W85</f>
        <v>51.979000000000006</v>
      </c>
      <c r="X34" s="656">
        <f t="shared" si="12"/>
        <v>51.979000000000006</v>
      </c>
      <c r="Y34" s="656">
        <f t="shared" si="12"/>
        <v>51.979000000000006</v>
      </c>
      <c r="Z34" s="656">
        <f t="shared" si="12"/>
        <v>51.979000000000006</v>
      </c>
      <c r="AA34" s="656">
        <f t="shared" si="12"/>
        <v>51.979000000000006</v>
      </c>
      <c r="AB34" s="656">
        <f t="shared" si="12"/>
        <v>51.979000000000006</v>
      </c>
      <c r="AC34" s="731">
        <f t="shared" si="12"/>
        <v>51.979000000000006</v>
      </c>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M34" s="245"/>
      <c r="CN34" s="245"/>
      <c r="CO34" s="245"/>
      <c r="CP34" s="245"/>
      <c r="CQ34" s="245"/>
      <c r="CR34" s="245"/>
      <c r="CS34" s="245"/>
      <c r="CT34" s="245"/>
      <c r="CU34" s="245"/>
      <c r="CV34" s="245"/>
    </row>
    <row r="35" spans="2:101" ht="15.65" customHeight="1" x14ac:dyDescent="0.35">
      <c r="B35" s="737" t="s">
        <v>796</v>
      </c>
      <c r="C35" s="245" t="s">
        <v>823</v>
      </c>
      <c r="D35" s="271">
        <v>30</v>
      </c>
      <c r="E35" s="241">
        <v>30</v>
      </c>
      <c r="F35" s="241">
        <v>30</v>
      </c>
      <c r="G35" s="241">
        <v>30</v>
      </c>
      <c r="H35" s="241">
        <v>30</v>
      </c>
      <c r="I35" s="241">
        <v>30</v>
      </c>
      <c r="J35" s="241">
        <v>30</v>
      </c>
      <c r="K35" s="237">
        <v>30.2</v>
      </c>
      <c r="L35" s="237">
        <v>30.2</v>
      </c>
      <c r="M35" s="237">
        <f>'Haver Pivoted'!GX89</f>
        <v>34.4</v>
      </c>
      <c r="N35" s="237">
        <f>'Haver Pivoted'!GY89</f>
        <v>34.4</v>
      </c>
      <c r="O35" s="237">
        <f>'Haver Pivoted'!GZ89</f>
        <v>218.933333333333</v>
      </c>
      <c r="P35" s="237">
        <f>'Haver Pivoted'!HA89</f>
        <v>223.13333333333301</v>
      </c>
      <c r="Q35" s="237">
        <f>'Haver Pivoted'!HB89</f>
        <v>94.3</v>
      </c>
      <c r="R35" s="237">
        <f>'Haver Pivoted'!HC89</f>
        <v>94.3</v>
      </c>
      <c r="S35" s="461">
        <f>'Haver Pivoted'!HD89</f>
        <v>94.3</v>
      </c>
      <c r="T35" s="461">
        <f>'Haver Pivoted'!HE89</f>
        <v>94.3</v>
      </c>
      <c r="U35" s="656">
        <v>34</v>
      </c>
      <c r="V35" s="503">
        <v>34</v>
      </c>
      <c r="W35" s="656">
        <v>34</v>
      </c>
      <c r="X35" s="656">
        <v>34</v>
      </c>
      <c r="Y35" s="656">
        <v>34</v>
      </c>
      <c r="Z35" s="656">
        <v>34</v>
      </c>
      <c r="AA35" s="656">
        <v>34</v>
      </c>
      <c r="AB35" s="656">
        <v>34</v>
      </c>
      <c r="AC35" s="731">
        <v>34</v>
      </c>
    </row>
    <row r="36" spans="2:101" ht="21.65" customHeight="1" x14ac:dyDescent="0.35">
      <c r="B36" s="252" t="s">
        <v>468</v>
      </c>
      <c r="C36" s="245"/>
      <c r="D36" s="272"/>
      <c r="E36" s="229"/>
      <c r="F36" s="229"/>
      <c r="G36" s="229"/>
      <c r="H36" s="503"/>
      <c r="I36" s="503"/>
      <c r="J36" s="503">
        <f>'PPP (expired)'!J53</f>
        <v>57.2</v>
      </c>
      <c r="K36" s="503">
        <f>'PPP (expired)'!K53</f>
        <v>81.2</v>
      </c>
      <c r="L36" s="503">
        <f>'PPP (expired)'!L53</f>
        <v>24.4</v>
      </c>
      <c r="M36" s="503">
        <f>'PPP (expired)'!M53</f>
        <v>11.7</v>
      </c>
      <c r="N36" s="503">
        <f>'PPP (expired)'!N53</f>
        <v>28.5</v>
      </c>
      <c r="O36" s="503">
        <f>'PPP (expired)'!O53</f>
        <v>18.8</v>
      </c>
      <c r="P36" s="503">
        <f>'PPP (expired)'!P53</f>
        <v>1.6</v>
      </c>
      <c r="Q36" s="503">
        <f>'PPP (expired)'!Q53</f>
        <v>0</v>
      </c>
      <c r="R36" s="503">
        <f>'PPP (expired)'!Q61</f>
        <v>0</v>
      </c>
      <c r="S36" s="503">
        <f>'PPP (expired)'!S53</f>
        <v>0</v>
      </c>
      <c r="T36" s="503">
        <f>'PPP (expired)'!T53</f>
        <v>0</v>
      </c>
      <c r="U36" s="503">
        <f>'PPP (expired)'!U53</f>
        <v>0</v>
      </c>
      <c r="V36" s="503">
        <f>'PPP (expired)'!V53</f>
        <v>0</v>
      </c>
      <c r="W36" s="656">
        <f>'PPP (expired)'!W53</f>
        <v>0</v>
      </c>
      <c r="X36" s="656">
        <f>'PPP (expired)'!X53</f>
        <v>0</v>
      </c>
      <c r="Y36" s="656">
        <f>'PPP (expired)'!Y53</f>
        <v>0</v>
      </c>
      <c r="Z36" s="656">
        <f>'PPP (expired)'!Z53</f>
        <v>0</v>
      </c>
      <c r="AA36" s="656">
        <f>'PPP (expired)'!AA53</f>
        <v>0</v>
      </c>
      <c r="AB36" s="656">
        <f>'PPP (expired)'!AB53</f>
        <v>0</v>
      </c>
      <c r="AC36" s="731">
        <f>'PPP (expired)'!AC53</f>
        <v>0</v>
      </c>
    </row>
    <row r="37" spans="2:101" ht="21.65" customHeight="1" x14ac:dyDescent="0.35">
      <c r="B37" s="287" t="s">
        <v>797</v>
      </c>
      <c r="C37" s="245"/>
      <c r="D37" s="588">
        <f t="shared" ref="D37:AC37" si="13">D109</f>
        <v>0</v>
      </c>
      <c r="E37" s="503">
        <f t="shared" si="13"/>
        <v>0</v>
      </c>
      <c r="F37" s="503">
        <f t="shared" si="13"/>
        <v>0</v>
      </c>
      <c r="G37" s="503">
        <f t="shared" si="13"/>
        <v>0</v>
      </c>
      <c r="H37" s="503">
        <f t="shared" si="13"/>
        <v>0</v>
      </c>
      <c r="I37" s="503">
        <f t="shared" si="13"/>
        <v>-6.9120000000000346</v>
      </c>
      <c r="J37" s="503">
        <f t="shared" si="13"/>
        <v>-37.9549999999997</v>
      </c>
      <c r="K37" s="503">
        <f t="shared" si="13"/>
        <v>85.725999999999658</v>
      </c>
      <c r="L37" s="503">
        <f t="shared" si="13"/>
        <v>18.405999999999722</v>
      </c>
      <c r="M37" s="503">
        <f t="shared" si="13"/>
        <v>20.282000000000153</v>
      </c>
      <c r="N37" s="503">
        <f t="shared" si="13"/>
        <v>-8.5988400000003367</v>
      </c>
      <c r="O37" s="503">
        <f t="shared" si="13"/>
        <v>-12.537493333333487</v>
      </c>
      <c r="P37" s="503">
        <f t="shared" si="13"/>
        <v>-32.38033333333351</v>
      </c>
      <c r="Q37" s="503">
        <f t="shared" si="13"/>
        <v>72.734879999999521</v>
      </c>
      <c r="R37" s="503">
        <f t="shared" si="13"/>
        <v>75.236879999999019</v>
      </c>
      <c r="S37" s="503">
        <f t="shared" si="13"/>
        <v>65.424879999999348</v>
      </c>
      <c r="T37" s="503">
        <f t="shared" si="13"/>
        <v>112.01587999999924</v>
      </c>
      <c r="U37" s="734">
        <f t="shared" si="13"/>
        <v>77.109026999999287</v>
      </c>
      <c r="V37" s="503">
        <f>V109</f>
        <v>91.266026999999212</v>
      </c>
      <c r="W37" s="656">
        <f t="shared" si="13"/>
        <v>91.266026999999212</v>
      </c>
      <c r="X37" s="656">
        <f t="shared" si="13"/>
        <v>91.266026999999212</v>
      </c>
      <c r="Y37" s="656">
        <f t="shared" si="13"/>
        <v>91.266026999999212</v>
      </c>
      <c r="Z37" s="656">
        <f t="shared" si="13"/>
        <v>91.266026999999212</v>
      </c>
      <c r="AA37" s="656">
        <f t="shared" si="13"/>
        <v>91.266026999999212</v>
      </c>
      <c r="AB37" s="656">
        <f t="shared" si="13"/>
        <v>91.266026999999212</v>
      </c>
      <c r="AC37" s="731">
        <f t="shared" si="13"/>
        <v>91.266026999999212</v>
      </c>
    </row>
    <row r="38" spans="2:101" ht="21" customHeight="1" x14ac:dyDescent="0.35">
      <c r="B38" s="268" t="s">
        <v>794</v>
      </c>
      <c r="C38" s="263"/>
      <c r="D38" s="704">
        <f t="shared" ref="D38:AC38" si="14">D33+D21</f>
        <v>0</v>
      </c>
      <c r="E38" s="626">
        <f t="shared" si="14"/>
        <v>0</v>
      </c>
      <c r="F38" s="626">
        <f t="shared" si="14"/>
        <v>0</v>
      </c>
      <c r="G38" s="626">
        <f t="shared" si="14"/>
        <v>0</v>
      </c>
      <c r="H38" s="626">
        <f t="shared" si="14"/>
        <v>0</v>
      </c>
      <c r="I38" s="626">
        <f t="shared" si="14"/>
        <v>0</v>
      </c>
      <c r="J38" s="626">
        <f t="shared" si="14"/>
        <v>160.9</v>
      </c>
      <c r="K38" s="626">
        <f t="shared" si="14"/>
        <v>58.4</v>
      </c>
      <c r="L38" s="626">
        <f t="shared" si="14"/>
        <v>34.5</v>
      </c>
      <c r="M38" s="626">
        <f t="shared" si="14"/>
        <v>21.4</v>
      </c>
      <c r="N38" s="626">
        <f t="shared" si="14"/>
        <v>13.3</v>
      </c>
      <c r="O38" s="626">
        <f t="shared" si="14"/>
        <v>21.804000000000041</v>
      </c>
      <c r="P38" s="560">
        <f t="shared" si="14"/>
        <v>51.919000000000011</v>
      </c>
      <c r="Q38" s="626">
        <f t="shared" si="14"/>
        <v>46.619</v>
      </c>
      <c r="R38" s="626">
        <f t="shared" si="14"/>
        <v>39.719000000000008</v>
      </c>
      <c r="S38" s="626">
        <f t="shared" si="14"/>
        <v>27.819000000000003</v>
      </c>
      <c r="T38" s="560">
        <f t="shared" si="14"/>
        <v>6.3160000000000007</v>
      </c>
      <c r="U38" s="560">
        <f t="shared" si="14"/>
        <v>1.4159999999999999</v>
      </c>
      <c r="V38" s="736">
        <f t="shared" si="14"/>
        <v>1.4159999999999999</v>
      </c>
      <c r="W38" s="562">
        <f t="shared" si="14"/>
        <v>1.4159999999999999</v>
      </c>
      <c r="X38" s="562">
        <f t="shared" si="14"/>
        <v>1.4790000000000001</v>
      </c>
      <c r="Y38" s="562">
        <f t="shared" si="14"/>
        <v>1.4790000000000001</v>
      </c>
      <c r="Z38" s="562">
        <f t="shared" si="14"/>
        <v>1.4790000000000001</v>
      </c>
      <c r="AA38" s="562">
        <f t="shared" si="14"/>
        <v>1.4790000000000001</v>
      </c>
      <c r="AB38" s="562">
        <f t="shared" si="14"/>
        <v>1.63</v>
      </c>
      <c r="AC38" s="562">
        <f t="shared" si="14"/>
        <v>1.63</v>
      </c>
    </row>
    <row r="39" spans="2:101" ht="44.9" customHeight="1" x14ac:dyDescent="0.35">
      <c r="B39" s="252" t="s">
        <v>801</v>
      </c>
      <c r="C39" s="245"/>
      <c r="D39" s="588">
        <f t="shared" ref="D39:AC39" si="15">D101</f>
        <v>1410.9</v>
      </c>
      <c r="E39" s="503">
        <f t="shared" si="15"/>
        <v>1470.7000000000003</v>
      </c>
      <c r="F39" s="503">
        <f t="shared" si="15"/>
        <v>1475.8999999999996</v>
      </c>
      <c r="G39" s="503">
        <f t="shared" si="15"/>
        <v>1482.6999999999998</v>
      </c>
      <c r="H39" s="503">
        <f t="shared" si="15"/>
        <v>1490.8000000000002</v>
      </c>
      <c r="I39" s="503">
        <f t="shared" si="15"/>
        <v>1542.4</v>
      </c>
      <c r="J39" s="503">
        <f t="shared" si="15"/>
        <v>1549.1000000000001</v>
      </c>
      <c r="K39" s="503">
        <f t="shared" si="15"/>
        <v>1555.8000000000002</v>
      </c>
      <c r="L39" s="503">
        <f t="shared" si="15"/>
        <v>1562.5000000000002</v>
      </c>
      <c r="M39" s="503">
        <f t="shared" si="15"/>
        <v>1586.8430000000003</v>
      </c>
      <c r="N39" s="503">
        <f t="shared" si="15"/>
        <v>1593.5430000000003</v>
      </c>
      <c r="O39" s="503">
        <f t="shared" si="15"/>
        <v>1600.2430000000004</v>
      </c>
      <c r="P39" s="503">
        <f t="shared" si="15"/>
        <v>1606.9430000000004</v>
      </c>
      <c r="Q39" s="503">
        <f t="shared" si="15"/>
        <v>1685.5501200000006</v>
      </c>
      <c r="R39" s="503">
        <f t="shared" si="15"/>
        <v>1692.2501200000006</v>
      </c>
      <c r="S39" s="503">
        <f t="shared" si="15"/>
        <v>1698.9501200000007</v>
      </c>
      <c r="T39" s="503">
        <f t="shared" si="15"/>
        <v>1705.6501200000007</v>
      </c>
      <c r="U39" s="503">
        <f t="shared" si="15"/>
        <v>1818.9789730000007</v>
      </c>
      <c r="V39" s="503">
        <f t="shared" si="15"/>
        <v>1825.6789730000007</v>
      </c>
      <c r="W39" s="656">
        <f t="shared" si="15"/>
        <v>1832.3789730000008</v>
      </c>
      <c r="X39" s="656">
        <f t="shared" si="15"/>
        <v>1839.0789730000008</v>
      </c>
      <c r="Y39" s="656">
        <f t="shared" si="15"/>
        <v>1888.4225177000008</v>
      </c>
      <c r="Z39" s="656">
        <f t="shared" si="15"/>
        <v>1895.1225177000008</v>
      </c>
      <c r="AA39" s="656">
        <f t="shared" si="15"/>
        <v>1901.8225177000008</v>
      </c>
      <c r="AB39" s="656">
        <f t="shared" si="15"/>
        <v>1908.5225177000009</v>
      </c>
      <c r="AC39" s="731">
        <f t="shared" si="15"/>
        <v>1944.8697280960009</v>
      </c>
    </row>
    <row r="40" spans="2:101" ht="44.9" customHeight="1" x14ac:dyDescent="0.35">
      <c r="B40" s="430" t="s">
        <v>1179</v>
      </c>
      <c r="D40" s="588"/>
      <c r="E40" s="503"/>
      <c r="F40" s="503"/>
      <c r="G40" s="503"/>
      <c r="H40" s="503"/>
      <c r="I40" s="503"/>
      <c r="J40" s="503"/>
      <c r="K40" s="503"/>
      <c r="L40" s="503"/>
      <c r="M40" s="503"/>
      <c r="N40" s="503"/>
      <c r="O40" s="503"/>
      <c r="P40" s="503"/>
      <c r="Q40" s="503"/>
      <c r="R40" s="503"/>
      <c r="S40" s="660">
        <f>'IRA and CHIPS'!E191</f>
        <v>-0.622</v>
      </c>
      <c r="T40" s="660">
        <f>'IRA and CHIPS'!F191</f>
        <v>21.89</v>
      </c>
      <c r="U40" s="660">
        <f>'IRA and CHIPS'!G191</f>
        <v>21.89</v>
      </c>
      <c r="V40" s="660">
        <f>'IRA and CHIPS'!H191</f>
        <v>21.89</v>
      </c>
      <c r="W40" s="671">
        <f>'IRA and CHIPS'!I191</f>
        <v>21.89</v>
      </c>
      <c r="X40" s="671">
        <f>'IRA and CHIPS'!J191</f>
        <v>15.439</v>
      </c>
      <c r="Y40" s="671">
        <f>'IRA and CHIPS'!K191</f>
        <v>15.439</v>
      </c>
      <c r="Z40" s="671">
        <f>'IRA and CHIPS'!L191</f>
        <v>15.439</v>
      </c>
      <c r="AA40" s="671">
        <f>'IRA and CHIPS'!M191</f>
        <v>15.439</v>
      </c>
      <c r="AB40" s="671">
        <f>'IRA and CHIPS'!N191</f>
        <v>16.966999999999999</v>
      </c>
      <c r="AC40" s="740">
        <f>'IRA and CHIPS'!O191</f>
        <v>16.966999999999999</v>
      </c>
    </row>
    <row r="41" spans="2:101" ht="31.4" customHeight="1" x14ac:dyDescent="0.35">
      <c r="B41" s="577" t="s">
        <v>798</v>
      </c>
      <c r="C41" s="263"/>
      <c r="D41" s="560">
        <f t="shared" ref="D41:R41" si="16">D39+SUM(D34:D37)+D40</f>
        <v>1440.9</v>
      </c>
      <c r="E41" s="560">
        <f t="shared" si="16"/>
        <v>1500.7000000000003</v>
      </c>
      <c r="F41" s="560">
        <f t="shared" si="16"/>
        <v>1505.8999999999996</v>
      </c>
      <c r="G41" s="560">
        <f t="shared" si="16"/>
        <v>1512.6999999999998</v>
      </c>
      <c r="H41" s="560">
        <f t="shared" si="16"/>
        <v>1520.8000000000002</v>
      </c>
      <c r="I41" s="560">
        <f t="shared" si="16"/>
        <v>1572.4</v>
      </c>
      <c r="J41" s="560">
        <f t="shared" si="16"/>
        <v>1649.3000000000004</v>
      </c>
      <c r="K41" s="560">
        <f t="shared" si="16"/>
        <v>1804.1</v>
      </c>
      <c r="L41" s="560">
        <f t="shared" si="16"/>
        <v>1687.3999999999999</v>
      </c>
      <c r="M41" s="560">
        <f t="shared" si="16"/>
        <v>1744.3000000000004</v>
      </c>
      <c r="N41" s="560">
        <f t="shared" si="16"/>
        <v>1748.4781600000001</v>
      </c>
      <c r="O41" s="560">
        <f t="shared" si="16"/>
        <v>1919.3298399999999</v>
      </c>
      <c r="P41" s="560">
        <f t="shared" si="16"/>
        <v>1899.5239999999999</v>
      </c>
      <c r="Q41" s="560">
        <f t="shared" si="16"/>
        <v>1929.424</v>
      </c>
      <c r="R41" s="560">
        <f t="shared" si="16"/>
        <v>1935.4239999999995</v>
      </c>
      <c r="S41" s="560">
        <f>S39+SUM(S34:S37)+S40</f>
        <v>1928.702</v>
      </c>
      <c r="T41" s="682">
        <f>T39+SUM(T34:T37)+T40</f>
        <v>2025.5740000000001</v>
      </c>
      <c r="U41" s="682">
        <f>U39+SUM(U34:U37)+U40</f>
        <v>2035.674</v>
      </c>
      <c r="V41" s="736">
        <f>V39+SUM(V34:V37)+V40</f>
        <v>2024.8140000000001</v>
      </c>
      <c r="W41" s="562">
        <f t="shared" ref="W41:AC41" si="17">W39+SUM(W34:W37)+W40</f>
        <v>2031.5140000000001</v>
      </c>
      <c r="X41" s="562">
        <f t="shared" si="17"/>
        <v>2031.7630000000001</v>
      </c>
      <c r="Y41" s="562">
        <f t="shared" si="17"/>
        <v>2081.1065446999996</v>
      </c>
      <c r="Z41" s="562">
        <f t="shared" si="17"/>
        <v>2087.8065446999999</v>
      </c>
      <c r="AA41" s="562">
        <f t="shared" si="17"/>
        <v>2094.5065446999997</v>
      </c>
      <c r="AB41" s="562">
        <f t="shared" si="17"/>
        <v>2102.7345447000002</v>
      </c>
      <c r="AC41" s="562">
        <f t="shared" si="17"/>
        <v>2139.0817550960001</v>
      </c>
    </row>
    <row r="42" spans="2:101" ht="31.4" customHeight="1" x14ac:dyDescent="0.35">
      <c r="B42" s="577"/>
      <c r="C42" s="263"/>
      <c r="D42" s="560"/>
      <c r="E42" s="560"/>
      <c r="F42" s="560"/>
      <c r="G42" s="560"/>
      <c r="H42" s="560"/>
      <c r="I42" s="560"/>
      <c r="J42" s="560"/>
      <c r="K42" s="560"/>
      <c r="L42" s="560"/>
      <c r="M42" s="560"/>
      <c r="N42" s="560"/>
      <c r="O42" s="560"/>
      <c r="P42" s="560"/>
      <c r="Q42" s="560"/>
      <c r="R42" s="560"/>
      <c r="S42" s="560"/>
      <c r="T42" s="560"/>
      <c r="U42" s="560"/>
      <c r="V42" s="560">
        <f>V12-SUM(V14,V17,V18,V21,V32,V33,V34,V35)+V40</f>
        <v>1938.835</v>
      </c>
      <c r="W42" s="562"/>
      <c r="X42" s="562"/>
      <c r="Y42" s="562"/>
      <c r="Z42" s="562"/>
      <c r="AA42" s="562"/>
      <c r="AB42" s="562"/>
      <c r="AC42" s="562"/>
    </row>
    <row r="43" spans="2:101" ht="31.4" customHeight="1" x14ac:dyDescent="0.35">
      <c r="B43" s="1398" t="s">
        <v>471</v>
      </c>
      <c r="C43" s="1399"/>
      <c r="D43" s="573"/>
      <c r="E43" s="574"/>
      <c r="F43" s="574"/>
      <c r="G43" s="574"/>
      <c r="H43" s="574"/>
      <c r="I43" s="574"/>
      <c r="J43" s="574"/>
      <c r="K43" s="574"/>
      <c r="L43" s="574"/>
      <c r="M43" s="574"/>
      <c r="N43" s="574"/>
      <c r="O43" s="574"/>
      <c r="P43" s="574"/>
      <c r="Q43" s="574"/>
      <c r="R43" s="574"/>
      <c r="S43" s="574"/>
      <c r="T43" s="560"/>
      <c r="U43" s="574"/>
      <c r="V43" s="560">
        <f>V39+V37</f>
        <v>1916.9449999999999</v>
      </c>
      <c r="W43" s="562"/>
      <c r="X43" s="562"/>
      <c r="Y43" s="562"/>
      <c r="Z43" s="562"/>
      <c r="AA43" s="562"/>
      <c r="AB43" s="562"/>
      <c r="AC43" s="728"/>
    </row>
    <row r="44" spans="2:101" x14ac:dyDescent="0.35">
      <c r="B44" s="287" t="s">
        <v>803</v>
      </c>
      <c r="C44" s="245" t="s">
        <v>472</v>
      </c>
      <c r="D44" s="272">
        <f>'Haver Pivoted'!GO37</f>
        <v>733.6</v>
      </c>
      <c r="E44" s="229">
        <f>'Haver Pivoted'!GP37</f>
        <v>744.3</v>
      </c>
      <c r="F44" s="229">
        <f>'Haver Pivoted'!GQ37</f>
        <v>762.3</v>
      </c>
      <c r="G44" s="229">
        <f>'Haver Pivoted'!GR37</f>
        <v>772.2</v>
      </c>
      <c r="H44" s="229">
        <f>'Haver Pivoted'!GS37</f>
        <v>772.1</v>
      </c>
      <c r="I44" s="229">
        <f>'Haver Pivoted'!GT37</f>
        <v>760.8</v>
      </c>
      <c r="J44" s="229">
        <f>'Haver Pivoted'!GU37</f>
        <v>811.3</v>
      </c>
      <c r="K44" s="229">
        <f>'Haver Pivoted'!GV37</f>
        <v>850.3</v>
      </c>
      <c r="L44" s="229">
        <f>'Haver Pivoted'!GW37</f>
        <v>840.3</v>
      </c>
      <c r="M44" s="229">
        <f>'Haver Pivoted'!GX37</f>
        <v>869.7</v>
      </c>
      <c r="N44" s="229">
        <f>'Haver Pivoted'!GY37</f>
        <v>913.8</v>
      </c>
      <c r="O44" s="229">
        <f>'Haver Pivoted'!GZ37</f>
        <v>923.8</v>
      </c>
      <c r="P44" s="229">
        <f>'Haver Pivoted'!HA37</f>
        <v>923.5</v>
      </c>
      <c r="Q44" s="229">
        <f>'Haver Pivoted'!HB37</f>
        <v>973.6</v>
      </c>
      <c r="R44" s="229">
        <f>'Haver Pivoted'!HC37</f>
        <v>1010.5</v>
      </c>
      <c r="S44" s="210">
        <f>'Haver Pivoted'!HD37</f>
        <v>1032.5999999999999</v>
      </c>
      <c r="T44" s="210">
        <f>'Haver Pivoted'!HE37</f>
        <v>1096.5999999999999</v>
      </c>
      <c r="U44" s="210">
        <f>'Haver Pivoted'!HF37</f>
        <v>1083.2</v>
      </c>
      <c r="V44" s="210">
        <f>'Haver Pivoted'!HG37</f>
        <v>1111.0999999999999</v>
      </c>
      <c r="W44" s="290"/>
      <c r="X44" s="290"/>
      <c r="Y44" s="290"/>
      <c r="Z44" s="290"/>
      <c r="AA44" s="290"/>
      <c r="AB44" s="290"/>
      <c r="AC44" s="722"/>
    </row>
    <row r="45" spans="2:101" x14ac:dyDescent="0.35">
      <c r="B45" s="559" t="s">
        <v>209</v>
      </c>
      <c r="C45" s="245"/>
      <c r="D45" s="588">
        <f>Medicaid!D30</f>
        <v>589.5</v>
      </c>
      <c r="E45" s="503">
        <f>Medicaid!E30</f>
        <v>598.70000000000005</v>
      </c>
      <c r="F45" s="503">
        <f>Medicaid!F30</f>
        <v>614.4</v>
      </c>
      <c r="G45" s="503">
        <f>Medicaid!G30</f>
        <v>622.4</v>
      </c>
      <c r="H45" s="503">
        <f>Medicaid!H30</f>
        <v>620.6</v>
      </c>
      <c r="I45" s="503">
        <f>Medicaid!I30</f>
        <v>606.5</v>
      </c>
      <c r="J45" s="503">
        <f>Medicaid!J30</f>
        <v>654.6</v>
      </c>
      <c r="K45" s="503">
        <f>Medicaid!K30</f>
        <v>690.8</v>
      </c>
      <c r="L45" s="503">
        <f>Medicaid!L30</f>
        <v>678.6</v>
      </c>
      <c r="M45" s="503">
        <f>Medicaid!M30</f>
        <v>704.9</v>
      </c>
      <c r="N45" s="503">
        <f>Medicaid!N30</f>
        <v>745.6</v>
      </c>
      <c r="O45" s="503">
        <f>Medicaid!O30</f>
        <v>749.2</v>
      </c>
      <c r="P45" s="503">
        <f>Medicaid!P30</f>
        <v>746.3</v>
      </c>
      <c r="Q45" s="503">
        <f>Medicaid!Q30</f>
        <v>791.9</v>
      </c>
      <c r="R45" s="503">
        <f>Medicaid!R30</f>
        <v>819.2</v>
      </c>
      <c r="S45" s="210">
        <f>Medicaid!S30</f>
        <v>819</v>
      </c>
      <c r="T45" s="503">
        <f>Medicaid!T30</f>
        <v>827.5</v>
      </c>
      <c r="U45" s="503">
        <f>Medicaid!U30</f>
        <v>877.6</v>
      </c>
      <c r="V45" s="503">
        <f>Medicaid!V30</f>
        <v>911.6</v>
      </c>
      <c r="W45" s="656">
        <f>Medicaid!W30</f>
        <v>867.2</v>
      </c>
      <c r="X45" s="656">
        <f>Medicaid!X30</f>
        <v>856.2</v>
      </c>
      <c r="Y45" s="656">
        <f>Medicaid!Y30</f>
        <v>904.8</v>
      </c>
      <c r="Z45" s="656">
        <f>Medicaid!Z30</f>
        <v>924.7</v>
      </c>
      <c r="AA45" s="656">
        <f>Medicaid!AA30</f>
        <v>932.4</v>
      </c>
      <c r="AB45" s="656">
        <f>Medicaid!AB30</f>
        <v>944.8</v>
      </c>
      <c r="AC45" s="731">
        <f>Medicaid!AC30</f>
        <v>957.6</v>
      </c>
    </row>
    <row r="46" spans="2:101" ht="14.9" customHeight="1" x14ac:dyDescent="0.35">
      <c r="B46" s="577" t="s">
        <v>804</v>
      </c>
      <c r="C46" s="263"/>
      <c r="D46" s="587">
        <f>D44-D45</f>
        <v>144.10000000000002</v>
      </c>
      <c r="E46" s="560">
        <f t="shared" ref="E46:O46" si="18">E44-E45</f>
        <v>145.59999999999991</v>
      </c>
      <c r="F46" s="560">
        <f t="shared" si="18"/>
        <v>147.89999999999998</v>
      </c>
      <c r="G46" s="560">
        <f t="shared" si="18"/>
        <v>149.80000000000007</v>
      </c>
      <c r="H46" s="560">
        <f t="shared" si="18"/>
        <v>151.5</v>
      </c>
      <c r="I46" s="560">
        <f t="shared" si="18"/>
        <v>154.29999999999995</v>
      </c>
      <c r="J46" s="560">
        <f t="shared" si="18"/>
        <v>156.69999999999993</v>
      </c>
      <c r="K46" s="560">
        <f t="shared" si="18"/>
        <v>159.5</v>
      </c>
      <c r="L46" s="560">
        <f t="shared" si="18"/>
        <v>161.69999999999993</v>
      </c>
      <c r="M46" s="560">
        <f t="shared" si="18"/>
        <v>164.80000000000007</v>
      </c>
      <c r="N46" s="560">
        <f t="shared" si="18"/>
        <v>168.19999999999993</v>
      </c>
      <c r="O46" s="560">
        <f t="shared" si="18"/>
        <v>174.59999999999991</v>
      </c>
      <c r="P46" s="560">
        <f>P44-P45</f>
        <v>177.20000000000005</v>
      </c>
      <c r="Q46" s="560">
        <f>Q44-Q45</f>
        <v>181.70000000000005</v>
      </c>
      <c r="R46" s="560">
        <f>R44-R45</f>
        <v>191.29999999999995</v>
      </c>
      <c r="S46" s="210">
        <f>S44-S45</f>
        <v>213.59999999999991</v>
      </c>
      <c r="T46" s="210">
        <f>T44-T45</f>
        <v>269.09999999999991</v>
      </c>
      <c r="U46" s="560">
        <f>T46*(1+AVERAGE($F$48:$I$48))+U47</f>
        <v>203.03380700109631</v>
      </c>
      <c r="V46" s="736">
        <f>U46*(1+AVERAGE($F$48:$I$48))+V47</f>
        <v>206.0018330562437</v>
      </c>
      <c r="W46" s="562">
        <f t="shared" ref="W46:AC46" si="19">V46*(1+AVERAGE($F$48:$I$48))</f>
        <v>209.01324685451698</v>
      </c>
      <c r="X46" s="562">
        <f t="shared" si="19"/>
        <v>212.06868265458453</v>
      </c>
      <c r="Y46" s="562">
        <f t="shared" si="19"/>
        <v>215.16878398695127</v>
      </c>
      <c r="Z46" s="562">
        <f t="shared" si="19"/>
        <v>218.31420378949775</v>
      </c>
      <c r="AA46" s="562">
        <f t="shared" si="19"/>
        <v>221.50560454500092</v>
      </c>
      <c r="AB46" s="562">
        <f t="shared" si="19"/>
        <v>224.74365842066501</v>
      </c>
      <c r="AC46" s="728">
        <f t="shared" si="19"/>
        <v>228.02904740969223</v>
      </c>
    </row>
    <row r="47" spans="2:101" ht="14.9" customHeight="1" x14ac:dyDescent="0.35">
      <c r="B47" s="577" t="s">
        <v>1688</v>
      </c>
      <c r="C47" s="263"/>
      <c r="D47" s="587"/>
      <c r="E47" s="560"/>
      <c r="F47" s="560"/>
      <c r="G47" s="560"/>
      <c r="H47" s="560"/>
      <c r="I47" s="560"/>
      <c r="J47" s="560"/>
      <c r="K47" s="560"/>
      <c r="L47" s="560"/>
      <c r="M47" s="560"/>
      <c r="N47" s="560"/>
      <c r="O47" s="560"/>
      <c r="P47" s="560"/>
      <c r="Q47" s="560"/>
      <c r="R47" s="560"/>
      <c r="S47" s="210"/>
      <c r="T47" s="560"/>
      <c r="U47" s="560">
        <v>-70</v>
      </c>
      <c r="V47" s="560"/>
      <c r="W47" s="562"/>
      <c r="X47" s="562"/>
      <c r="Y47" s="562"/>
      <c r="Z47" s="562"/>
      <c r="AA47" s="562"/>
      <c r="AB47" s="562"/>
      <c r="AC47" s="728"/>
    </row>
    <row r="48" spans="2:101" x14ac:dyDescent="0.35">
      <c r="B48" s="701" t="s">
        <v>805</v>
      </c>
      <c r="C48" s="367"/>
      <c r="D48" s="589"/>
      <c r="E48" s="576">
        <f>E46/D46-1</f>
        <v>1.0409437890353201E-2</v>
      </c>
      <c r="F48" s="576">
        <f t="shared" ref="F48:N48" si="20">F46/E46-1</f>
        <v>1.5796703296703685E-2</v>
      </c>
      <c r="G48" s="576">
        <f t="shared" si="20"/>
        <v>1.2846517917512346E-2</v>
      </c>
      <c r="H48" s="576">
        <f t="shared" si="20"/>
        <v>1.1348464619492127E-2</v>
      </c>
      <c r="I48" s="576">
        <f t="shared" si="20"/>
        <v>1.8481848184818128E-2</v>
      </c>
      <c r="J48" s="576">
        <f t="shared" si="20"/>
        <v>1.5554115359688758E-2</v>
      </c>
      <c r="K48" s="576">
        <f t="shared" si="20"/>
        <v>1.7868538608807105E-2</v>
      </c>
      <c r="L48" s="576">
        <f t="shared" si="20"/>
        <v>1.3793103448275446E-2</v>
      </c>
      <c r="M48" s="576">
        <f t="shared" si="20"/>
        <v>1.9171304885591489E-2</v>
      </c>
      <c r="N48" s="576">
        <f t="shared" si="20"/>
        <v>2.0631067961164318E-2</v>
      </c>
      <c r="O48" s="576">
        <f>O46/N46-1</f>
        <v>3.8049940546967864E-2</v>
      </c>
      <c r="P48" s="576">
        <f t="shared" ref="P48:S48" si="21">P46/O46-1</f>
        <v>1.4891179839634283E-2</v>
      </c>
      <c r="Q48" s="576">
        <f t="shared" si="21"/>
        <v>2.5395033860045046E-2</v>
      </c>
      <c r="R48" s="576">
        <f t="shared" si="21"/>
        <v>5.2834342322509054E-2</v>
      </c>
      <c r="S48" s="645">
        <f t="shared" si="21"/>
        <v>0.11657083115525335</v>
      </c>
      <c r="T48" s="561"/>
      <c r="U48" s="561"/>
      <c r="V48" s="561"/>
      <c r="W48" s="584"/>
      <c r="X48" s="584"/>
      <c r="Y48" s="584"/>
      <c r="Z48" s="584"/>
      <c r="AA48" s="584"/>
      <c r="AB48" s="584"/>
      <c r="AC48" s="727"/>
    </row>
    <row r="51" spans="2:39" x14ac:dyDescent="0.35">
      <c r="B51" s="1369"/>
      <c r="C51" s="1369"/>
      <c r="U51" s="229"/>
      <c r="V51" s="229"/>
      <c r="W51" s="229"/>
      <c r="X51" s="229"/>
      <c r="Y51" s="229"/>
      <c r="Z51" s="229"/>
      <c r="AA51" s="229"/>
      <c r="AB51" s="229"/>
      <c r="AC51" s="229"/>
    </row>
    <row r="52" spans="2:39" x14ac:dyDescent="0.35">
      <c r="B52" s="230"/>
      <c r="C52" s="245"/>
      <c r="U52" s="503"/>
      <c r="V52" s="503">
        <f>V40+V39+V34+V35+V36+V37</f>
        <v>2024.8140000000001</v>
      </c>
      <c r="W52" s="503"/>
      <c r="X52" s="503"/>
      <c r="Y52" s="503"/>
      <c r="Z52" s="503"/>
      <c r="AA52" s="503"/>
      <c r="AB52" s="503"/>
      <c r="AC52" s="503"/>
      <c r="AD52" s="526"/>
      <c r="AE52" s="526"/>
      <c r="AF52" s="526"/>
      <c r="AG52" s="526"/>
      <c r="AH52" s="526"/>
      <c r="AI52" s="526"/>
      <c r="AJ52" s="526"/>
      <c r="AK52" s="526"/>
      <c r="AL52" s="526"/>
      <c r="AM52" s="526"/>
    </row>
    <row r="53" spans="2:39" x14ac:dyDescent="0.35">
      <c r="B53" s="230"/>
      <c r="C53" s="245"/>
      <c r="U53" s="229"/>
      <c r="V53" s="229"/>
      <c r="W53" s="229"/>
      <c r="X53" s="229"/>
      <c r="Y53" s="229"/>
      <c r="Z53" s="229"/>
      <c r="AA53" s="229"/>
      <c r="AB53" s="229"/>
      <c r="AC53" s="229"/>
      <c r="AD53" s="526"/>
      <c r="AE53" s="526"/>
      <c r="AF53" s="526"/>
      <c r="AG53" s="526"/>
      <c r="AH53" s="526"/>
      <c r="AI53" s="526"/>
      <c r="AJ53" s="526"/>
      <c r="AK53" s="526"/>
      <c r="AL53" s="526"/>
      <c r="AM53" s="526"/>
    </row>
    <row r="54" spans="2:39" ht="28.5" customHeight="1" x14ac:dyDescent="0.35">
      <c r="B54" s="253"/>
      <c r="C54" s="245"/>
      <c r="U54" s="503"/>
      <c r="V54" s="503"/>
      <c r="W54" s="503"/>
      <c r="X54" s="503"/>
      <c r="Y54" s="503"/>
      <c r="Z54" s="503"/>
      <c r="AA54" s="503"/>
      <c r="AB54" s="503"/>
      <c r="AC54" s="503"/>
      <c r="AD54" s="526"/>
      <c r="AE54" s="526"/>
      <c r="AF54" s="526"/>
      <c r="AG54" s="526"/>
      <c r="AH54" s="526"/>
      <c r="AI54" s="526"/>
      <c r="AJ54" s="526"/>
      <c r="AK54" s="526"/>
      <c r="AL54" s="526"/>
      <c r="AM54" s="526"/>
    </row>
    <row r="55" spans="2:39" x14ac:dyDescent="0.35">
      <c r="B55" s="253"/>
      <c r="C55" s="245"/>
      <c r="U55" s="503"/>
      <c r="V55" s="503"/>
      <c r="W55" s="503"/>
      <c r="X55" s="503"/>
      <c r="Y55" s="503"/>
      <c r="Z55" s="503"/>
      <c r="AA55" s="503"/>
      <c r="AB55" s="503"/>
      <c r="AC55" s="503"/>
      <c r="AD55" s="526"/>
      <c r="AE55" s="526"/>
      <c r="AF55" s="526"/>
      <c r="AG55" s="526"/>
      <c r="AH55" s="526"/>
      <c r="AI55" s="526"/>
      <c r="AJ55" s="526"/>
      <c r="AK55" s="526"/>
      <c r="AL55" s="526"/>
      <c r="AM55" s="526"/>
    </row>
    <row r="56" spans="2:39" x14ac:dyDescent="0.35">
      <c r="B56" s="230"/>
      <c r="C56" s="245"/>
      <c r="U56" s="503"/>
      <c r="V56" s="503"/>
      <c r="W56" s="503"/>
      <c r="X56" s="503"/>
      <c r="Y56" s="503"/>
      <c r="Z56" s="503"/>
      <c r="AA56" s="503"/>
      <c r="AB56" s="503"/>
      <c r="AC56" s="503"/>
      <c r="AD56" s="526"/>
      <c r="AE56" s="526"/>
      <c r="AF56" s="526"/>
      <c r="AG56" s="526"/>
      <c r="AH56" s="526"/>
      <c r="AI56" s="526"/>
      <c r="AJ56" s="526"/>
      <c r="AK56" s="526"/>
      <c r="AL56" s="526"/>
      <c r="AM56" s="526"/>
    </row>
    <row r="57" spans="2:39" x14ac:dyDescent="0.35">
      <c r="B57" s="258"/>
      <c r="C57" s="263"/>
      <c r="U57" s="560"/>
      <c r="V57" s="560"/>
      <c r="W57" s="560"/>
      <c r="X57" s="560"/>
      <c r="Y57" s="560"/>
      <c r="Z57" s="560"/>
      <c r="AA57" s="560"/>
      <c r="AB57" s="560"/>
      <c r="AC57" s="560"/>
      <c r="AD57" s="526"/>
      <c r="AE57" s="526"/>
      <c r="AF57" s="526"/>
      <c r="AG57" s="526"/>
      <c r="AH57" s="526"/>
      <c r="AI57" s="526"/>
      <c r="AJ57" s="526"/>
      <c r="AK57" s="526"/>
      <c r="AL57" s="526"/>
      <c r="AM57" s="526"/>
    </row>
    <row r="58" spans="2:39" x14ac:dyDescent="0.35">
      <c r="B58" s="253"/>
      <c r="C58" s="672"/>
      <c r="U58" s="503"/>
      <c r="V58" s="503"/>
      <c r="W58" s="503"/>
      <c r="X58" s="503"/>
      <c r="Y58" s="503"/>
      <c r="Z58" s="503"/>
      <c r="AA58" s="503"/>
      <c r="AB58" s="503"/>
      <c r="AC58" s="503"/>
      <c r="AD58" s="526"/>
      <c r="AE58" s="526"/>
      <c r="AF58" s="526"/>
      <c r="AG58" s="526"/>
      <c r="AH58" s="526"/>
      <c r="AI58" s="526"/>
      <c r="AJ58" s="526"/>
      <c r="AK58" s="526"/>
      <c r="AL58" s="526"/>
      <c r="AM58" s="526"/>
    </row>
    <row r="59" spans="2:39" x14ac:dyDescent="0.35">
      <c r="B59" s="253"/>
      <c r="C59" s="672"/>
      <c r="U59" s="241"/>
      <c r="V59" s="241"/>
      <c r="W59" s="241"/>
      <c r="X59" s="241"/>
      <c r="Y59" s="241"/>
      <c r="Z59" s="241"/>
      <c r="AA59" s="241"/>
      <c r="AB59" s="241"/>
      <c r="AC59" s="241"/>
      <c r="AD59" s="526"/>
      <c r="AE59" s="526"/>
      <c r="AF59" s="526"/>
      <c r="AG59" s="526"/>
      <c r="AH59" s="526"/>
      <c r="AI59" s="526"/>
      <c r="AJ59" s="526"/>
      <c r="AK59" s="526"/>
      <c r="AL59" s="526"/>
      <c r="AM59" s="526"/>
    </row>
    <row r="60" spans="2:39" x14ac:dyDescent="0.35">
      <c r="B60" s="253"/>
      <c r="C60" s="245"/>
      <c r="U60" s="503"/>
      <c r="V60" s="503"/>
      <c r="W60" s="503"/>
      <c r="X60" s="503"/>
      <c r="Y60" s="503"/>
      <c r="Z60" s="503"/>
      <c r="AA60" s="503"/>
      <c r="AB60" s="503"/>
      <c r="AC60" s="503"/>
      <c r="AD60" s="526"/>
      <c r="AE60" s="526"/>
      <c r="AF60" s="526"/>
      <c r="AG60" s="526"/>
      <c r="AH60" s="526"/>
      <c r="AI60" s="526"/>
      <c r="AJ60" s="526"/>
      <c r="AK60" s="526"/>
      <c r="AL60" s="526"/>
      <c r="AM60" s="526"/>
    </row>
    <row r="61" spans="2:39" x14ac:dyDescent="0.35">
      <c r="B61" s="253"/>
      <c r="C61" s="245"/>
      <c r="U61" s="503"/>
      <c r="V61" s="503"/>
      <c r="W61" s="503"/>
      <c r="X61" s="503"/>
      <c r="Y61" s="503"/>
      <c r="Z61" s="503"/>
      <c r="AA61" s="503"/>
      <c r="AB61" s="503"/>
      <c r="AC61" s="503"/>
      <c r="AD61" s="526"/>
      <c r="AE61" s="526"/>
      <c r="AF61" s="526"/>
      <c r="AG61" s="526"/>
      <c r="AH61" s="526"/>
      <c r="AI61" s="526"/>
      <c r="AJ61" s="526"/>
      <c r="AK61" s="526"/>
      <c r="AL61" s="526"/>
      <c r="AM61" s="526"/>
    </row>
    <row r="62" spans="2:39" x14ac:dyDescent="0.35">
      <c r="B62" s="253"/>
      <c r="C62" s="245"/>
      <c r="U62" s="503"/>
      <c r="V62" s="503"/>
      <c r="W62" s="503"/>
      <c r="X62" s="503"/>
      <c r="Y62" s="503"/>
      <c r="Z62" s="503"/>
      <c r="AA62" s="503"/>
      <c r="AB62" s="503"/>
      <c r="AC62" s="503"/>
      <c r="AD62" s="526"/>
      <c r="AE62" s="526"/>
      <c r="AF62" s="526"/>
      <c r="AG62" s="526"/>
      <c r="AH62" s="526"/>
      <c r="AI62" s="526"/>
      <c r="AJ62" s="526"/>
      <c r="AK62" s="526"/>
      <c r="AL62" s="526"/>
      <c r="AM62" s="526"/>
    </row>
    <row r="63" spans="2:39" x14ac:dyDescent="0.35">
      <c r="B63" s="230"/>
      <c r="C63" s="245"/>
      <c r="U63" s="503"/>
      <c r="V63" s="503"/>
      <c r="W63" s="503"/>
      <c r="X63" s="503"/>
      <c r="Y63" s="503"/>
      <c r="Z63" s="503"/>
      <c r="AA63" s="503"/>
      <c r="AB63" s="503"/>
      <c r="AC63" s="503"/>
      <c r="AD63" s="526"/>
      <c r="AE63" s="526"/>
      <c r="AF63" s="526"/>
      <c r="AG63" s="526"/>
      <c r="AH63" s="526"/>
      <c r="AI63" s="526"/>
      <c r="AJ63" s="526"/>
      <c r="AK63" s="526"/>
      <c r="AL63" s="526"/>
      <c r="AM63" s="526"/>
    </row>
    <row r="64" spans="2:39" x14ac:dyDescent="0.35">
      <c r="B64" s="258"/>
      <c r="C64" s="263"/>
      <c r="U64" s="626"/>
      <c r="V64" s="626"/>
      <c r="W64" s="626"/>
      <c r="X64" s="626"/>
      <c r="Y64" s="626"/>
      <c r="Z64" s="626"/>
      <c r="AA64" s="626"/>
      <c r="AB64" s="626"/>
      <c r="AC64" s="626"/>
      <c r="AD64" s="526"/>
      <c r="AE64" s="526"/>
      <c r="AF64" s="526"/>
      <c r="AG64" s="526"/>
      <c r="AH64" s="526"/>
      <c r="AI64" s="526"/>
      <c r="AJ64" s="526"/>
      <c r="AK64" s="526"/>
      <c r="AL64" s="526"/>
      <c r="AM64" s="526"/>
    </row>
    <row r="65" spans="2:39" ht="28.5" customHeight="1" x14ac:dyDescent="0.35">
      <c r="B65" s="253"/>
      <c r="C65" s="245"/>
      <c r="U65" s="503"/>
      <c r="V65" s="503"/>
      <c r="W65" s="503"/>
      <c r="X65" s="503"/>
      <c r="Y65" s="503"/>
      <c r="Z65" s="503"/>
      <c r="AA65" s="503"/>
      <c r="AB65" s="503"/>
      <c r="AC65" s="503"/>
      <c r="AD65" s="526"/>
      <c r="AE65" s="526"/>
      <c r="AF65" s="526"/>
      <c r="AG65" s="526"/>
      <c r="AH65" s="526"/>
      <c r="AI65" s="526"/>
      <c r="AJ65" s="526"/>
      <c r="AK65" s="526"/>
      <c r="AL65" s="526"/>
      <c r="AM65" s="526"/>
    </row>
    <row r="66" spans="2:39" x14ac:dyDescent="0.35">
      <c r="B66" s="387"/>
      <c r="C66" s="56"/>
      <c r="U66" s="660"/>
      <c r="V66" s="660"/>
      <c r="W66" s="660"/>
      <c r="X66" s="660"/>
      <c r="Y66" s="660"/>
      <c r="Z66" s="660"/>
      <c r="AA66" s="660"/>
      <c r="AB66" s="660"/>
      <c r="AC66" s="660"/>
      <c r="AD66" s="526"/>
      <c r="AE66" s="526"/>
      <c r="AF66" s="526"/>
      <c r="AG66" s="526"/>
      <c r="AH66" s="526"/>
      <c r="AI66" s="526"/>
      <c r="AJ66" s="526"/>
      <c r="AK66" s="526"/>
      <c r="AL66" s="526"/>
      <c r="AM66" s="526"/>
    </row>
    <row r="67" spans="2:39" x14ac:dyDescent="0.35">
      <c r="B67" s="263"/>
      <c r="C67" s="263"/>
      <c r="U67" s="560"/>
      <c r="V67" s="560"/>
      <c r="W67" s="560"/>
      <c r="X67" s="560"/>
      <c r="Y67" s="560"/>
      <c r="Z67" s="560"/>
      <c r="AA67" s="560"/>
      <c r="AB67" s="560"/>
      <c r="AC67" s="560"/>
      <c r="AD67" s="526"/>
      <c r="AE67" s="526"/>
      <c r="AF67" s="526"/>
      <c r="AG67" s="526"/>
      <c r="AH67" s="526"/>
      <c r="AI67" s="526"/>
      <c r="AJ67" s="526"/>
      <c r="AK67" s="526"/>
      <c r="AL67" s="526"/>
      <c r="AM67" s="526"/>
    </row>
    <row r="68" spans="2:39" x14ac:dyDescent="0.35">
      <c r="B68" s="1369"/>
      <c r="C68" s="1369"/>
      <c r="U68" s="560"/>
      <c r="V68" s="560"/>
      <c r="W68" s="560"/>
      <c r="X68" s="560"/>
      <c r="Y68" s="560"/>
      <c r="Z68" s="560"/>
      <c r="AA68" s="560"/>
      <c r="AB68" s="560"/>
      <c r="AC68" s="560"/>
      <c r="AD68" s="526"/>
      <c r="AE68" s="526"/>
      <c r="AF68" s="526"/>
      <c r="AG68" s="526"/>
      <c r="AH68" s="526"/>
      <c r="AI68" s="526"/>
      <c r="AJ68" s="526"/>
      <c r="AK68" s="526"/>
      <c r="AL68" s="526"/>
      <c r="AM68" s="526"/>
    </row>
    <row r="69" spans="2:39" x14ac:dyDescent="0.35">
      <c r="B69" s="230"/>
      <c r="C69" s="245"/>
      <c r="U69" s="245"/>
      <c r="V69" s="245"/>
      <c r="W69" s="245"/>
      <c r="X69" s="245"/>
      <c r="Y69" s="245"/>
      <c r="Z69" s="245"/>
      <c r="AA69" s="245"/>
      <c r="AB69" s="245"/>
      <c r="AC69" s="245"/>
      <c r="AD69" s="526"/>
      <c r="AE69" s="526"/>
      <c r="AF69" s="526"/>
      <c r="AG69" s="526"/>
      <c r="AH69" s="526"/>
      <c r="AI69" s="526"/>
      <c r="AJ69" s="526"/>
      <c r="AK69" s="526"/>
      <c r="AL69" s="526"/>
      <c r="AM69" s="526"/>
    </row>
    <row r="70" spans="2:39" x14ac:dyDescent="0.35">
      <c r="B70" s="245"/>
      <c r="C70" s="245"/>
      <c r="U70" s="503"/>
      <c r="V70" s="503"/>
      <c r="W70" s="503"/>
      <c r="X70" s="503"/>
      <c r="Y70" s="503"/>
      <c r="Z70" s="503"/>
      <c r="AA70" s="503"/>
      <c r="AB70" s="503"/>
      <c r="AC70" s="503"/>
      <c r="AD70" s="526"/>
      <c r="AE70" s="526"/>
      <c r="AF70" s="526"/>
      <c r="AG70" s="526"/>
      <c r="AH70" s="526"/>
      <c r="AI70" s="526"/>
      <c r="AJ70" s="526"/>
      <c r="AK70" s="526"/>
      <c r="AL70" s="526"/>
      <c r="AM70" s="526"/>
    </row>
    <row r="71" spans="2:39" x14ac:dyDescent="0.35">
      <c r="B71" s="263"/>
      <c r="C71" s="263"/>
      <c r="U71" s="560"/>
      <c r="V71" s="560"/>
      <c r="W71" s="560"/>
      <c r="X71" s="560"/>
      <c r="Y71" s="560"/>
      <c r="Z71" s="560"/>
      <c r="AA71" s="560"/>
      <c r="AB71" s="560"/>
      <c r="AC71" s="560"/>
      <c r="AD71" s="526"/>
      <c r="AE71" s="526"/>
      <c r="AF71" s="526"/>
      <c r="AG71" s="526"/>
      <c r="AH71" s="526"/>
      <c r="AI71" s="526"/>
      <c r="AJ71" s="526"/>
      <c r="AK71" s="526"/>
      <c r="AL71" s="526"/>
      <c r="AM71" s="526"/>
    </row>
    <row r="72" spans="2:39" x14ac:dyDescent="0.35">
      <c r="B72" s="263"/>
      <c r="C72" s="263"/>
      <c r="U72" s="560"/>
      <c r="V72" s="560"/>
      <c r="W72" s="560"/>
      <c r="X72" s="560"/>
      <c r="Y72" s="560"/>
      <c r="Z72" s="560"/>
      <c r="AA72" s="560"/>
      <c r="AB72" s="560"/>
      <c r="AC72" s="560"/>
      <c r="AD72" s="526"/>
      <c r="AE72" s="526"/>
      <c r="AF72" s="526"/>
      <c r="AG72" s="526"/>
      <c r="AH72" s="526"/>
      <c r="AI72" s="526"/>
      <c r="AJ72" s="526"/>
      <c r="AK72" s="526"/>
      <c r="AL72" s="526"/>
      <c r="AM72" s="526"/>
    </row>
    <row r="73" spans="2:39" x14ac:dyDescent="0.35">
      <c r="B73" s="733"/>
      <c r="C73" s="245"/>
      <c r="U73" s="503"/>
      <c r="V73" s="503"/>
      <c r="W73" s="503"/>
      <c r="X73" s="503"/>
      <c r="Y73" s="503"/>
      <c r="Z73" s="503"/>
      <c r="AA73" s="503"/>
      <c r="AB73" s="503"/>
      <c r="AC73" s="503"/>
      <c r="AD73" s="526"/>
      <c r="AE73" s="526"/>
      <c r="AF73" s="526"/>
      <c r="AG73" s="526"/>
      <c r="AH73" s="526"/>
      <c r="AI73" s="526"/>
      <c r="AJ73" s="526"/>
      <c r="AK73" s="526"/>
      <c r="AL73" s="526"/>
      <c r="AM73" s="526"/>
    </row>
    <row r="75" spans="2:39" x14ac:dyDescent="0.35">
      <c r="U75" s="1427"/>
      <c r="V75" s="1427"/>
      <c r="W75" s="1427"/>
      <c r="X75" s="1427"/>
    </row>
    <row r="76" spans="2:39" x14ac:dyDescent="0.35">
      <c r="U76" s="1427"/>
      <c r="V76" s="1427"/>
      <c r="W76" s="1427"/>
      <c r="X76" s="1427"/>
    </row>
    <row r="77" spans="2:39" x14ac:dyDescent="0.35">
      <c r="U77" s="1427"/>
      <c r="V77" s="1427"/>
      <c r="W77" s="1427"/>
      <c r="X77" s="1427"/>
    </row>
    <row r="79" spans="2:39" x14ac:dyDescent="0.35">
      <c r="P79" s="493"/>
      <c r="Q79" s="493"/>
    </row>
    <row r="80" spans="2:39" x14ac:dyDescent="0.35">
      <c r="B80" s="523" t="s">
        <v>351</v>
      </c>
      <c r="D80" s="503"/>
      <c r="E80" s="503"/>
      <c r="F80" s="503"/>
      <c r="G80" s="503"/>
      <c r="H80" s="503"/>
      <c r="I80" s="503"/>
      <c r="J80" s="503"/>
      <c r="K80" s="503"/>
      <c r="L80" s="503"/>
      <c r="M80" s="503"/>
      <c r="N80" s="503"/>
      <c r="O80" s="503"/>
      <c r="P80" s="503"/>
      <c r="Q80" s="503"/>
      <c r="R80" s="503"/>
      <c r="S80" s="503"/>
      <c r="T80" s="503"/>
      <c r="U80" s="503"/>
      <c r="V80" s="503"/>
      <c r="W80" s="503"/>
      <c r="X80" s="503"/>
      <c r="Y80" s="503"/>
      <c r="Z80" s="503"/>
      <c r="AA80" s="503"/>
      <c r="AB80" s="503"/>
      <c r="AC80" s="503"/>
    </row>
    <row r="81" spans="2:33" ht="45.75" customHeight="1" x14ac:dyDescent="0.35">
      <c r="B81" s="1400" t="s">
        <v>475</v>
      </c>
      <c r="C81" s="1400"/>
      <c r="D81" s="1400"/>
      <c r="E81" s="1400"/>
      <c r="F81" s="1400"/>
      <c r="G81" s="1400"/>
      <c r="H81" s="1400"/>
      <c r="I81" s="1400"/>
      <c r="J81" s="1400"/>
      <c r="K81" s="1400"/>
      <c r="L81" s="1400"/>
      <c r="M81" s="1400"/>
      <c r="N81" s="1400"/>
      <c r="O81" s="1400"/>
      <c r="P81" s="1400"/>
      <c r="Q81" s="1400"/>
      <c r="R81" s="1400"/>
      <c r="S81" s="1400"/>
      <c r="T81" s="1400"/>
      <c r="U81" s="1400"/>
      <c r="V81" s="1400"/>
      <c r="W81" s="1400"/>
      <c r="X81" s="1400"/>
      <c r="Y81" s="1400"/>
      <c r="Z81" s="1400"/>
      <c r="AA81" s="1400"/>
      <c r="AB81" s="1400"/>
      <c r="AC81" s="1400"/>
    </row>
    <row r="82" spans="2:33" ht="14.9" customHeight="1" x14ac:dyDescent="0.35">
      <c r="B82" s="1258" t="s">
        <v>476</v>
      </c>
      <c r="C82" s="1350"/>
      <c r="D82" s="1276" t="s">
        <v>279</v>
      </c>
      <c r="E82" s="1277"/>
      <c r="F82" s="1277"/>
      <c r="G82" s="1277"/>
      <c r="H82" s="1277"/>
      <c r="I82" s="1277"/>
      <c r="J82" s="1277"/>
      <c r="K82" s="1277"/>
      <c r="L82" s="1277"/>
      <c r="M82" s="1277"/>
      <c r="N82" s="1277"/>
      <c r="O82" s="1277"/>
      <c r="P82" s="1277"/>
      <c r="Q82" s="1277"/>
      <c r="R82" s="1277"/>
      <c r="S82" s="1277"/>
      <c r="T82" s="1277"/>
      <c r="U82" s="1277"/>
      <c r="V82" s="1278"/>
      <c r="W82" s="1393" t="s">
        <v>280</v>
      </c>
      <c r="X82" s="1394"/>
      <c r="Y82" s="1394"/>
      <c r="Z82" s="1394"/>
      <c r="AA82" s="1394"/>
      <c r="AB82" s="1394"/>
      <c r="AC82" s="1394"/>
      <c r="AD82" s="1394"/>
      <c r="AE82" s="1394"/>
      <c r="AF82" s="1394"/>
      <c r="AG82" s="1394"/>
    </row>
    <row r="83" spans="2:33" x14ac:dyDescent="0.35">
      <c r="B83" s="1258"/>
      <c r="C83" s="1350"/>
      <c r="D83" s="293">
        <v>2018</v>
      </c>
      <c r="E83" s="1264">
        <v>2019</v>
      </c>
      <c r="F83" s="1359"/>
      <c r="G83" s="1359"/>
      <c r="H83" s="1266"/>
      <c r="I83" s="1264">
        <v>2020</v>
      </c>
      <c r="J83" s="1359"/>
      <c r="K83" s="1359"/>
      <c r="L83" s="1359"/>
      <c r="M83" s="1264">
        <v>2021</v>
      </c>
      <c r="N83" s="1359"/>
      <c r="O83" s="1359"/>
      <c r="P83" s="1359"/>
      <c r="Q83" s="1264">
        <v>2022</v>
      </c>
      <c r="R83" s="1265"/>
      <c r="S83" s="1265"/>
      <c r="T83" s="1266"/>
      <c r="U83" s="299"/>
      <c r="V83" s="439">
        <v>2023</v>
      </c>
      <c r="W83" s="625"/>
      <c r="X83" s="332"/>
      <c r="Y83" s="1270">
        <v>2024</v>
      </c>
      <c r="Z83" s="1352"/>
      <c r="AA83" s="1352"/>
      <c r="AB83" s="1272"/>
      <c r="AC83" s="1270">
        <v>2025</v>
      </c>
      <c r="AD83" s="1352"/>
      <c r="AE83" s="1352"/>
      <c r="AF83" s="1272"/>
      <c r="AG83" s="732">
        <v>2026</v>
      </c>
    </row>
    <row r="84" spans="2:33" x14ac:dyDescent="0.35">
      <c r="B84" s="1274"/>
      <c r="C84" s="1351"/>
      <c r="D84" s="221" t="s">
        <v>281</v>
      </c>
      <c r="E84" s="221" t="s">
        <v>282</v>
      </c>
      <c r="F84" s="222" t="s">
        <v>283</v>
      </c>
      <c r="G84" s="222" t="s">
        <v>238</v>
      </c>
      <c r="H84" s="228" t="s">
        <v>281</v>
      </c>
      <c r="I84" s="222" t="s">
        <v>282</v>
      </c>
      <c r="J84" s="222" t="s">
        <v>283</v>
      </c>
      <c r="K84" s="222" t="s">
        <v>238</v>
      </c>
      <c r="L84" s="222" t="s">
        <v>281</v>
      </c>
      <c r="M84" s="221" t="s">
        <v>282</v>
      </c>
      <c r="N84" s="222" t="s">
        <v>283</v>
      </c>
      <c r="O84" s="222" t="s">
        <v>238</v>
      </c>
      <c r="P84" s="222" t="s">
        <v>281</v>
      </c>
      <c r="Q84" s="221" t="s">
        <v>282</v>
      </c>
      <c r="R84" s="222" t="s">
        <v>283</v>
      </c>
      <c r="S84" s="222" t="s">
        <v>238</v>
      </c>
      <c r="T84" s="228" t="s">
        <v>281</v>
      </c>
      <c r="U84" s="222" t="s">
        <v>282</v>
      </c>
      <c r="V84" s="283" t="s">
        <v>283</v>
      </c>
      <c r="W84" s="269" t="s">
        <v>238</v>
      </c>
      <c r="X84" s="298" t="s">
        <v>281</v>
      </c>
      <c r="Y84" s="296" t="s">
        <v>282</v>
      </c>
      <c r="Z84" s="267" t="s">
        <v>283</v>
      </c>
      <c r="AA84" s="269" t="s">
        <v>238</v>
      </c>
      <c r="AB84" s="269" t="s">
        <v>281</v>
      </c>
      <c r="AC84" s="296" t="s">
        <v>282</v>
      </c>
      <c r="AD84" s="267" t="s">
        <v>283</v>
      </c>
      <c r="AE84" s="269" t="s">
        <v>238</v>
      </c>
      <c r="AF84" s="269" t="s">
        <v>281</v>
      </c>
      <c r="AG84" s="296" t="s">
        <v>282</v>
      </c>
    </row>
    <row r="85" spans="2:33" x14ac:dyDescent="0.35">
      <c r="B85" s="559" t="s">
        <v>1428</v>
      </c>
      <c r="D85" s="256"/>
      <c r="E85" s="317"/>
      <c r="F85" s="317"/>
      <c r="G85" s="317"/>
      <c r="H85" s="317"/>
      <c r="I85" s="571">
        <f>(I86-AVERAGE($E86:$H86))</f>
        <v>6.9120000000000061</v>
      </c>
      <c r="J85" s="571">
        <f t="shared" ref="J85:U85" si="22">(J86-AVERAGE($E86:$H86))</f>
        <v>50.955000000000005</v>
      </c>
      <c r="K85" s="571">
        <f t="shared" si="22"/>
        <v>51.173999999999999</v>
      </c>
      <c r="L85" s="571">
        <f t="shared" si="22"/>
        <v>51.893999999999998</v>
      </c>
      <c r="M85" s="571">
        <f t="shared" si="22"/>
        <v>91.075000000000017</v>
      </c>
      <c r="N85" s="571">
        <f t="shared" si="22"/>
        <v>100.63400000000001</v>
      </c>
      <c r="O85" s="571">
        <f t="shared" si="22"/>
        <v>93.89100000000002</v>
      </c>
      <c r="P85" s="571">
        <f t="shared" si="22"/>
        <v>100.22800000000001</v>
      </c>
      <c r="Q85" s="571">
        <f t="shared" si="22"/>
        <v>76.838999999999999</v>
      </c>
      <c r="R85" s="571">
        <f t="shared" si="22"/>
        <v>73.637</v>
      </c>
      <c r="S85" s="572">
        <f t="shared" si="22"/>
        <v>70.649000000000001</v>
      </c>
      <c r="T85" s="565">
        <f t="shared" si="22"/>
        <v>91.718000000000018</v>
      </c>
      <c r="U85" s="572">
        <f t="shared" si="22"/>
        <v>83.695999999999998</v>
      </c>
      <c r="V85" s="572">
        <f>(V86-AVERAGE($E86:$H86))</f>
        <v>51.979000000000006</v>
      </c>
      <c r="W85" s="705">
        <f>V85</f>
        <v>51.979000000000006</v>
      </c>
      <c r="X85" s="705">
        <f t="shared" ref="X85:AG85" si="23">W85</f>
        <v>51.979000000000006</v>
      </c>
      <c r="Y85" s="705">
        <f t="shared" si="23"/>
        <v>51.979000000000006</v>
      </c>
      <c r="Z85" s="705">
        <f t="shared" si="23"/>
        <v>51.979000000000006</v>
      </c>
      <c r="AA85" s="705">
        <f t="shared" si="23"/>
        <v>51.979000000000006</v>
      </c>
      <c r="AB85" s="705">
        <f t="shared" si="23"/>
        <v>51.979000000000006</v>
      </c>
      <c r="AC85" s="709">
        <f t="shared" si="23"/>
        <v>51.979000000000006</v>
      </c>
      <c r="AD85" s="705">
        <f t="shared" si="23"/>
        <v>51.979000000000006</v>
      </c>
      <c r="AE85" s="705">
        <f t="shared" si="23"/>
        <v>51.979000000000006</v>
      </c>
      <c r="AF85" s="705">
        <f t="shared" si="23"/>
        <v>51.979000000000006</v>
      </c>
      <c r="AG85" s="705">
        <f t="shared" si="23"/>
        <v>51.979000000000006</v>
      </c>
    </row>
    <row r="86" spans="2:33" x14ac:dyDescent="0.35">
      <c r="B86" s="559" t="s">
        <v>160</v>
      </c>
      <c r="C86" s="245" t="s">
        <v>477</v>
      </c>
      <c r="D86" s="272">
        <f>'Haver Pivoted'!GO66</f>
        <v>57.017000000000003</v>
      </c>
      <c r="E86" s="229">
        <f>'Haver Pivoted'!GP66</f>
        <v>55.875</v>
      </c>
      <c r="F86" s="229">
        <f>'Haver Pivoted'!GQ66</f>
        <v>54.335999999999999</v>
      </c>
      <c r="G86" s="229">
        <f>'Haver Pivoted'!GR66</f>
        <v>54.345999999999997</v>
      </c>
      <c r="H86" s="229">
        <f>'Haver Pivoted'!GS66</f>
        <v>54.290999999999997</v>
      </c>
      <c r="I86" s="229">
        <f>'Haver Pivoted'!GT66</f>
        <v>61.624000000000002</v>
      </c>
      <c r="J86" s="229">
        <f>'Haver Pivoted'!GU66</f>
        <v>105.667</v>
      </c>
      <c r="K86" s="229">
        <f>'Haver Pivoted'!GV66</f>
        <v>105.886</v>
      </c>
      <c r="L86" s="229">
        <f>'Haver Pivoted'!GW66</f>
        <v>106.60599999999999</v>
      </c>
      <c r="M86" s="229">
        <f>'Haver Pivoted'!GX66</f>
        <v>145.78700000000001</v>
      </c>
      <c r="N86" s="229">
        <f>'Haver Pivoted'!GY66</f>
        <v>155.346</v>
      </c>
      <c r="O86" s="229">
        <f>'Haver Pivoted'!GZ66</f>
        <v>148.60300000000001</v>
      </c>
      <c r="P86" s="229">
        <f>'Haver Pivoted'!HA66</f>
        <v>154.94</v>
      </c>
      <c r="Q86" s="229">
        <f>'Haver Pivoted'!HB66</f>
        <v>131.55099999999999</v>
      </c>
      <c r="R86" s="229">
        <f>'Haver Pivoted'!HC66</f>
        <v>128.34899999999999</v>
      </c>
      <c r="S86" s="222">
        <f>'Haver Pivoted'!HD66</f>
        <v>125.361</v>
      </c>
      <c r="T86" s="222">
        <f>'Haver Pivoted'!HE66</f>
        <v>146.43</v>
      </c>
      <c r="U86" s="222">
        <f>'Haver Pivoted'!HF66</f>
        <v>138.40799999999999</v>
      </c>
      <c r="V86" s="222">
        <f>'Haver Pivoted'!HG66</f>
        <v>106.691</v>
      </c>
      <c r="W86" s="326"/>
      <c r="X86" s="326"/>
      <c r="Y86" s="326"/>
      <c r="Z86" s="326"/>
      <c r="AA86" s="326"/>
      <c r="AB86" s="326"/>
      <c r="AC86" s="326"/>
      <c r="AD86" s="225"/>
      <c r="AE86" s="225"/>
      <c r="AF86" s="225"/>
      <c r="AG86" s="225"/>
    </row>
    <row r="87" spans="2:33" ht="29.15" customHeight="1" x14ac:dyDescent="0.35">
      <c r="B87" s="558" t="s">
        <v>478</v>
      </c>
      <c r="C87" s="367"/>
      <c r="D87" s="702"/>
      <c r="E87" s="554"/>
      <c r="F87" s="554"/>
      <c r="G87" s="554"/>
      <c r="H87" s="554"/>
      <c r="I87" s="554"/>
      <c r="J87" s="554">
        <f t="shared" ref="J87:V87" si="24">J86-$H86</f>
        <v>51.376000000000005</v>
      </c>
      <c r="K87" s="554">
        <f t="shared" si="24"/>
        <v>51.594999999999999</v>
      </c>
      <c r="L87" s="554">
        <f t="shared" si="24"/>
        <v>52.314999999999998</v>
      </c>
      <c r="M87" s="554">
        <f t="shared" si="24"/>
        <v>91.496000000000009</v>
      </c>
      <c r="N87" s="554">
        <f>N86-$H86</f>
        <v>101.05500000000001</v>
      </c>
      <c r="O87" s="554">
        <f>O86-$H86</f>
        <v>94.312000000000012</v>
      </c>
      <c r="P87" s="554">
        <f t="shared" si="24"/>
        <v>100.649</v>
      </c>
      <c r="Q87" s="554">
        <f t="shared" si="24"/>
        <v>77.259999999999991</v>
      </c>
      <c r="R87" s="554">
        <f t="shared" si="24"/>
        <v>74.057999999999993</v>
      </c>
      <c r="S87" s="283">
        <f t="shared" si="24"/>
        <v>71.070000000000007</v>
      </c>
      <c r="T87" s="283">
        <f t="shared" si="24"/>
        <v>92.13900000000001</v>
      </c>
      <c r="U87" s="283">
        <f t="shared" si="24"/>
        <v>84.11699999999999</v>
      </c>
      <c r="V87" s="283">
        <f t="shared" si="24"/>
        <v>52.400000000000006</v>
      </c>
      <c r="W87" s="269"/>
      <c r="X87" s="269"/>
      <c r="Y87" s="269"/>
      <c r="Z87" s="269"/>
      <c r="AA87" s="269"/>
      <c r="AB87" s="269"/>
      <c r="AC87" s="269"/>
      <c r="AD87" s="225"/>
      <c r="AE87" s="225"/>
      <c r="AF87" s="225"/>
      <c r="AG87" s="225"/>
    </row>
    <row r="88" spans="2:33" ht="29.15" customHeight="1" x14ac:dyDescent="0.35">
      <c r="B88" s="245"/>
      <c r="C88" s="245"/>
      <c r="D88" s="229"/>
      <c r="E88" s="229"/>
      <c r="F88" s="229"/>
      <c r="G88" s="229"/>
      <c r="H88" s="229"/>
      <c r="I88" s="229"/>
      <c r="J88" s="229"/>
      <c r="K88" s="229"/>
      <c r="L88" s="229"/>
      <c r="M88" s="229"/>
      <c r="N88" s="229"/>
      <c r="O88" s="229"/>
      <c r="P88" s="229"/>
      <c r="Q88" s="229"/>
      <c r="R88" s="229"/>
      <c r="S88" s="229"/>
      <c r="T88" s="229"/>
      <c r="U88" s="229"/>
      <c r="V88" s="229"/>
      <c r="W88" s="229"/>
      <c r="X88" s="229"/>
      <c r="Y88" s="229"/>
      <c r="Z88" s="229"/>
      <c r="AA88" s="229"/>
      <c r="AB88" s="229"/>
      <c r="AC88" s="229"/>
    </row>
    <row r="89" spans="2:33" ht="29.15" customHeight="1" x14ac:dyDescent="0.35">
      <c r="B89" s="245"/>
      <c r="C89" s="245"/>
      <c r="D89" s="229"/>
      <c r="E89" s="229"/>
      <c r="F89" s="229"/>
      <c r="G89" s="229"/>
      <c r="H89" s="229"/>
      <c r="I89" s="229"/>
      <c r="J89" s="229"/>
      <c r="K89" s="229"/>
      <c r="L89" s="229"/>
      <c r="M89" s="229"/>
      <c r="N89" s="229"/>
      <c r="O89" s="229"/>
      <c r="P89" s="229"/>
      <c r="Q89" s="229"/>
      <c r="R89" s="229"/>
      <c r="S89" s="229"/>
      <c r="T89" s="229"/>
      <c r="U89" s="229"/>
      <c r="V89" s="229"/>
      <c r="W89" s="229"/>
      <c r="X89" s="229"/>
      <c r="Y89" s="229"/>
      <c r="Z89" s="229"/>
      <c r="AA89" s="229"/>
      <c r="AB89" s="229"/>
      <c r="AC89" s="229"/>
    </row>
    <row r="90" spans="2:33" ht="29.15" customHeight="1" x14ac:dyDescent="0.35">
      <c r="B90" s="245"/>
      <c r="C90" s="245"/>
      <c r="D90" s="229"/>
      <c r="E90" s="229"/>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row>
    <row r="91" spans="2:33" ht="35.9" customHeight="1" x14ac:dyDescent="0.35"/>
    <row r="92" spans="2:33" x14ac:dyDescent="0.35">
      <c r="B92" s="523" t="s">
        <v>364</v>
      </c>
    </row>
    <row r="93" spans="2:33" x14ac:dyDescent="0.35">
      <c r="B93" s="1401" t="s">
        <v>802</v>
      </c>
      <c r="C93" s="1402"/>
      <c r="D93" s="1274" t="s">
        <v>279</v>
      </c>
      <c r="E93" s="1275"/>
      <c r="F93" s="1275"/>
      <c r="G93" s="1275"/>
      <c r="H93" s="1275"/>
      <c r="I93" s="1275"/>
      <c r="J93" s="1275"/>
      <c r="K93" s="1275"/>
      <c r="L93" s="1275"/>
      <c r="M93" s="1275"/>
      <c r="N93" s="1275"/>
      <c r="O93" s="1275"/>
      <c r="P93" s="1275"/>
      <c r="Q93" s="1275"/>
      <c r="R93" s="1275"/>
      <c r="S93" s="1275"/>
      <c r="T93" s="1275"/>
      <c r="U93" s="1275"/>
      <c r="V93" s="1351"/>
      <c r="W93" s="1393" t="s">
        <v>280</v>
      </c>
      <c r="X93" s="1394"/>
      <c r="Y93" s="1394"/>
      <c r="Z93" s="1394"/>
      <c r="AA93" s="1394"/>
      <c r="AB93" s="1394"/>
      <c r="AC93" s="1394"/>
      <c r="AD93" s="1394"/>
      <c r="AE93" s="1394"/>
      <c r="AF93" s="1394"/>
      <c r="AG93" s="1394"/>
    </row>
    <row r="94" spans="2:33" x14ac:dyDescent="0.35">
      <c r="B94" s="1403"/>
      <c r="C94" s="1404"/>
      <c r="D94" s="293">
        <v>2018</v>
      </c>
      <c r="E94" s="1264">
        <v>2019</v>
      </c>
      <c r="F94" s="1359"/>
      <c r="G94" s="1359"/>
      <c r="H94" s="1266"/>
      <c r="I94" s="1264">
        <v>2020</v>
      </c>
      <c r="J94" s="1359"/>
      <c r="K94" s="1359"/>
      <c r="L94" s="1359"/>
      <c r="M94" s="1264">
        <v>2021</v>
      </c>
      <c r="N94" s="1359"/>
      <c r="O94" s="1359"/>
      <c r="P94" s="1359"/>
      <c r="Q94" s="1264">
        <v>2022</v>
      </c>
      <c r="R94" s="1265"/>
      <c r="S94" s="1265"/>
      <c r="T94" s="1266"/>
      <c r="U94" s="299"/>
      <c r="V94" s="439">
        <v>2023</v>
      </c>
      <c r="W94" s="625"/>
      <c r="X94" s="332"/>
      <c r="Y94" s="1270">
        <v>2024</v>
      </c>
      <c r="Z94" s="1352"/>
      <c r="AA94" s="1352"/>
      <c r="AB94" s="1272"/>
      <c r="AC94" s="1270">
        <v>2025</v>
      </c>
      <c r="AD94" s="1352"/>
      <c r="AE94" s="1352"/>
      <c r="AF94" s="1272"/>
      <c r="AG94" s="732">
        <v>2026</v>
      </c>
    </row>
    <row r="95" spans="2:33" x14ac:dyDescent="0.35">
      <c r="B95" s="1403"/>
      <c r="C95" s="1404"/>
      <c r="D95" s="221" t="s">
        <v>281</v>
      </c>
      <c r="E95" s="221" t="s">
        <v>282</v>
      </c>
      <c r="F95" s="222" t="s">
        <v>283</v>
      </c>
      <c r="G95" s="222" t="s">
        <v>238</v>
      </c>
      <c r="H95" s="228" t="s">
        <v>281</v>
      </c>
      <c r="I95" s="222" t="s">
        <v>282</v>
      </c>
      <c r="J95" s="222" t="s">
        <v>283</v>
      </c>
      <c r="K95" s="222" t="s">
        <v>238</v>
      </c>
      <c r="L95" s="222" t="s">
        <v>281</v>
      </c>
      <c r="M95" s="221" t="s">
        <v>282</v>
      </c>
      <c r="N95" s="222" t="s">
        <v>283</v>
      </c>
      <c r="O95" s="222" t="s">
        <v>238</v>
      </c>
      <c r="P95" s="222" t="s">
        <v>281</v>
      </c>
      <c r="Q95" s="221" t="s">
        <v>282</v>
      </c>
      <c r="R95" s="222" t="s">
        <v>283</v>
      </c>
      <c r="S95" s="222" t="s">
        <v>238</v>
      </c>
      <c r="T95" s="228" t="s">
        <v>281</v>
      </c>
      <c r="U95" s="222" t="s">
        <v>282</v>
      </c>
      <c r="V95" s="283" t="s">
        <v>283</v>
      </c>
      <c r="W95" s="269" t="s">
        <v>238</v>
      </c>
      <c r="X95" s="298" t="s">
        <v>281</v>
      </c>
      <c r="Y95" s="296" t="s">
        <v>282</v>
      </c>
      <c r="Z95" s="267" t="s">
        <v>283</v>
      </c>
      <c r="AA95" s="269" t="s">
        <v>238</v>
      </c>
      <c r="AB95" s="269" t="s">
        <v>281</v>
      </c>
      <c r="AC95" s="296" t="s">
        <v>282</v>
      </c>
      <c r="AD95" s="267" t="s">
        <v>283</v>
      </c>
      <c r="AE95" s="269" t="s">
        <v>238</v>
      </c>
      <c r="AF95" s="269" t="s">
        <v>281</v>
      </c>
      <c r="AG95" s="296" t="s">
        <v>282</v>
      </c>
    </row>
    <row r="96" spans="2:33" ht="25.75" customHeight="1" x14ac:dyDescent="0.35">
      <c r="B96" s="669" t="s">
        <v>465</v>
      </c>
      <c r="C96" s="555" t="s">
        <v>466</v>
      </c>
      <c r="D96" s="374">
        <f>'Haver Pivoted'!GO31</f>
        <v>2223</v>
      </c>
      <c r="E96" s="375">
        <f>'Haver Pivoted'!GP31</f>
        <v>2303.8000000000002</v>
      </c>
      <c r="F96" s="375">
        <f>'Haver Pivoted'!GQ31</f>
        <v>2321.6999999999998</v>
      </c>
      <c r="G96" s="375">
        <f>'Haver Pivoted'!GR31</f>
        <v>2337.1</v>
      </c>
      <c r="H96" s="375">
        <f>'Haver Pivoted'!GS31</f>
        <v>2349.5</v>
      </c>
      <c r="I96" s="375">
        <f>'Haver Pivoted'!GT31</f>
        <v>2414.4</v>
      </c>
      <c r="J96" s="375">
        <f>'Haver Pivoted'!GU31</f>
        <v>4654.1000000000004</v>
      </c>
      <c r="K96" s="375">
        <f>'Haver Pivoted'!GV31</f>
        <v>3504.7</v>
      </c>
      <c r="L96" s="375">
        <f>'Haver Pivoted'!GW31</f>
        <v>2888.4</v>
      </c>
      <c r="M96" s="375">
        <f>'Haver Pivoted'!GX31</f>
        <v>5138.1000000000004</v>
      </c>
      <c r="N96" s="375">
        <f>'Haver Pivoted'!GY31</f>
        <v>3397.8</v>
      </c>
      <c r="O96" s="375">
        <f>'Haver Pivoted'!GZ31</f>
        <v>3124.9</v>
      </c>
      <c r="P96" s="375">
        <f>'Haver Pivoted'!HA31</f>
        <v>2952.6</v>
      </c>
      <c r="Q96" s="375">
        <f>'Haver Pivoted'!HB31</f>
        <v>2970.9</v>
      </c>
      <c r="R96" s="375">
        <f>'Haver Pivoted'!HC31</f>
        <v>2976.2</v>
      </c>
      <c r="S96" s="376">
        <f>'Haver Pivoted'!HD31</f>
        <v>2970.4</v>
      </c>
      <c r="T96" s="677">
        <f>'Haver Pivoted'!HE31</f>
        <v>3024.4</v>
      </c>
      <c r="U96" s="376">
        <f>'Haver Pivoted'!HF31</f>
        <v>3038.4</v>
      </c>
      <c r="V96" s="376">
        <f>'Haver Pivoted'!HG31</f>
        <v>3049.1</v>
      </c>
      <c r="W96" s="723"/>
      <c r="X96" s="723"/>
      <c r="Y96" s="723"/>
      <c r="Z96" s="723"/>
      <c r="AA96" s="723"/>
      <c r="AB96" s="723"/>
      <c r="AC96" s="707"/>
      <c r="AD96" s="707"/>
      <c r="AE96" s="707"/>
      <c r="AF96" s="707"/>
      <c r="AG96" s="225"/>
    </row>
    <row r="97" spans="2:33" ht="25.75" customHeight="1" x14ac:dyDescent="0.35">
      <c r="B97" s="488" t="s">
        <v>1841</v>
      </c>
      <c r="C97" s="245"/>
      <c r="D97" s="700">
        <f>D98+D99</f>
        <v>812.1</v>
      </c>
      <c r="E97" s="456">
        <f>E98+E99</f>
        <v>833.1</v>
      </c>
      <c r="F97" s="456">
        <f>F98+F99</f>
        <v>845.8</v>
      </c>
      <c r="G97" s="456">
        <f t="shared" ref="G97:N97" si="25">G98+G99</f>
        <v>854.4</v>
      </c>
      <c r="H97" s="456">
        <f t="shared" si="25"/>
        <v>858.7</v>
      </c>
      <c r="I97" s="456">
        <f t="shared" si="25"/>
        <v>878.91200000000003</v>
      </c>
      <c r="J97" s="456">
        <f t="shared" si="25"/>
        <v>3142.9549999999999</v>
      </c>
      <c r="K97" s="456">
        <f t="shared" si="25"/>
        <v>1863.174</v>
      </c>
      <c r="L97" s="456">
        <f t="shared" si="25"/>
        <v>1307.4940000000001</v>
      </c>
      <c r="M97" s="456">
        <f t="shared" si="25"/>
        <v>3530.9749999999999</v>
      </c>
      <c r="N97" s="456">
        <f t="shared" si="25"/>
        <v>1812.8558400000002</v>
      </c>
      <c r="O97" s="456">
        <f>O98+O99</f>
        <v>1537.1944933333332</v>
      </c>
      <c r="P97" s="456">
        <f t="shared" ref="P97:R97" si="26">P98+P99</f>
        <v>1378.037333333333</v>
      </c>
      <c r="Q97" s="456">
        <f t="shared" si="26"/>
        <v>1212.615</v>
      </c>
      <c r="R97" s="456">
        <f t="shared" si="26"/>
        <v>1208.7130000000002</v>
      </c>
      <c r="S97" s="673">
        <f>S98+S99</f>
        <v>1206.0250000000001</v>
      </c>
      <c r="T97" s="673">
        <f t="shared" ref="T97:U97" si="27">T98+T99</f>
        <v>1206.7340000000002</v>
      </c>
      <c r="U97" s="673">
        <f t="shared" si="27"/>
        <v>1142.3120000000001</v>
      </c>
      <c r="V97" s="673">
        <f>V98+V99</f>
        <v>1132.155</v>
      </c>
      <c r="W97" s="657"/>
      <c r="X97" s="657"/>
      <c r="Y97" s="657"/>
      <c r="Z97" s="657"/>
      <c r="AA97" s="657"/>
      <c r="AB97" s="657"/>
      <c r="AC97" s="657"/>
      <c r="AD97" s="657"/>
      <c r="AE97" s="657"/>
      <c r="AF97" s="657"/>
      <c r="AG97" s="225"/>
    </row>
    <row r="98" spans="2:33" ht="25.75" customHeight="1" x14ac:dyDescent="0.35">
      <c r="B98" s="429" t="s">
        <v>1839</v>
      </c>
      <c r="C98" s="245"/>
      <c r="D98" s="700">
        <f t="shared" ref="D98:V98" si="28">D14+D17+D35</f>
        <v>812.1</v>
      </c>
      <c r="E98" s="700">
        <f t="shared" si="28"/>
        <v>833.1</v>
      </c>
      <c r="F98" s="456">
        <f t="shared" si="28"/>
        <v>845.8</v>
      </c>
      <c r="G98" s="456">
        <f t="shared" si="28"/>
        <v>854.4</v>
      </c>
      <c r="H98" s="456">
        <f t="shared" si="28"/>
        <v>858.7</v>
      </c>
      <c r="I98" s="456">
        <f t="shared" si="28"/>
        <v>872</v>
      </c>
      <c r="J98" s="456">
        <f t="shared" si="28"/>
        <v>1795.8</v>
      </c>
      <c r="K98" s="456">
        <f t="shared" si="28"/>
        <v>1656.8</v>
      </c>
      <c r="L98" s="456">
        <f t="shared" si="28"/>
        <v>1191.7</v>
      </c>
      <c r="M98" s="456">
        <f t="shared" si="28"/>
        <v>1473.1</v>
      </c>
      <c r="N98" s="456">
        <f t="shared" si="28"/>
        <v>1346.4</v>
      </c>
      <c r="O98" s="456">
        <f t="shared" si="28"/>
        <v>1318.833333333333</v>
      </c>
      <c r="P98" s="456">
        <f t="shared" si="28"/>
        <v>1157.333333333333</v>
      </c>
      <c r="Q98" s="456">
        <f t="shared" si="28"/>
        <v>1036.4000000000001</v>
      </c>
      <c r="R98" s="456">
        <f t="shared" si="28"/>
        <v>1042.6000000000001</v>
      </c>
      <c r="S98" s="673">
        <f t="shared" si="28"/>
        <v>1054.8</v>
      </c>
      <c r="T98" s="673">
        <f t="shared" si="28"/>
        <v>1078.7</v>
      </c>
      <c r="U98" s="673">
        <f t="shared" si="28"/>
        <v>1045.2</v>
      </c>
      <c r="V98" s="673">
        <f t="shared" si="28"/>
        <v>1066.76</v>
      </c>
      <c r="W98" s="657"/>
      <c r="X98" s="657"/>
      <c r="Y98" s="657"/>
      <c r="Z98" s="657"/>
      <c r="AA98" s="657"/>
      <c r="AB98" s="657"/>
      <c r="AC98" s="657"/>
      <c r="AD98" s="657"/>
      <c r="AE98" s="657"/>
      <c r="AF98" s="657"/>
      <c r="AG98" s="657"/>
    </row>
    <row r="99" spans="2:33" ht="36" customHeight="1" x14ac:dyDescent="0.35">
      <c r="B99" s="429" t="s">
        <v>1840</v>
      </c>
      <c r="C99" s="245"/>
      <c r="D99" s="456">
        <f t="shared" ref="D99:AG99" si="29">D18+D21+D32+D33+D34+D36</f>
        <v>0</v>
      </c>
      <c r="E99" s="456">
        <f t="shared" si="29"/>
        <v>0</v>
      </c>
      <c r="F99" s="456">
        <f t="shared" si="29"/>
        <v>0</v>
      </c>
      <c r="G99" s="456">
        <f t="shared" si="29"/>
        <v>0</v>
      </c>
      <c r="H99" s="456">
        <f t="shared" si="29"/>
        <v>0</v>
      </c>
      <c r="I99" s="456">
        <f t="shared" si="29"/>
        <v>6.9120000000000061</v>
      </c>
      <c r="J99" s="456">
        <f t="shared" si="29"/>
        <v>1347.155</v>
      </c>
      <c r="K99" s="456">
        <f t="shared" si="29"/>
        <v>206.37400000000002</v>
      </c>
      <c r="L99" s="456">
        <f t="shared" si="29"/>
        <v>115.79400000000001</v>
      </c>
      <c r="M99" s="456">
        <f t="shared" si="29"/>
        <v>2057.875</v>
      </c>
      <c r="N99" s="456">
        <f t="shared" si="29"/>
        <v>466.45584000000008</v>
      </c>
      <c r="O99" s="456">
        <f t="shared" si="29"/>
        <v>218.3611600000001</v>
      </c>
      <c r="P99" s="456">
        <f t="shared" si="29"/>
        <v>220.70400000000004</v>
      </c>
      <c r="Q99" s="456">
        <f t="shared" si="29"/>
        <v>176.215</v>
      </c>
      <c r="R99" s="456">
        <f t="shared" si="29"/>
        <v>166.113</v>
      </c>
      <c r="S99" s="673">
        <f t="shared" si="29"/>
        <v>151.22500000000002</v>
      </c>
      <c r="T99" s="673">
        <f t="shared" si="29"/>
        <v>128.03400000000002</v>
      </c>
      <c r="U99" s="673">
        <f t="shared" si="29"/>
        <v>97.111999999999995</v>
      </c>
      <c r="V99" s="673">
        <f t="shared" si="29"/>
        <v>65.39500000000001</v>
      </c>
      <c r="W99" s="657">
        <f t="shared" si="29"/>
        <v>65.39500000000001</v>
      </c>
      <c r="X99" s="657">
        <f t="shared" si="29"/>
        <v>57.680000000000007</v>
      </c>
      <c r="Y99" s="657">
        <f t="shared" si="29"/>
        <v>57.680000000000007</v>
      </c>
      <c r="Z99" s="657">
        <f t="shared" si="29"/>
        <v>57.680000000000007</v>
      </c>
      <c r="AA99" s="657">
        <f t="shared" si="29"/>
        <v>57.680000000000007</v>
      </c>
      <c r="AB99" s="657">
        <f t="shared" si="29"/>
        <v>55.981000000000009</v>
      </c>
      <c r="AC99" s="657">
        <f t="shared" si="29"/>
        <v>55.981000000000009</v>
      </c>
      <c r="AD99" s="657">
        <f t="shared" si="29"/>
        <v>0</v>
      </c>
      <c r="AE99" s="657">
        <f t="shared" si="29"/>
        <v>0</v>
      </c>
      <c r="AF99" s="657">
        <f t="shared" si="29"/>
        <v>0</v>
      </c>
      <c r="AG99" s="657">
        <f t="shared" si="29"/>
        <v>0</v>
      </c>
    </row>
    <row r="100" spans="2:33" ht="25.75" customHeight="1" x14ac:dyDescent="0.35">
      <c r="B100" s="488" t="s">
        <v>799</v>
      </c>
      <c r="C100" s="245"/>
      <c r="D100" s="700">
        <f>D96-D97</f>
        <v>1410.9</v>
      </c>
      <c r="E100" s="456">
        <f t="shared" ref="E100:T100" si="30">E96-E97</f>
        <v>1470.7000000000003</v>
      </c>
      <c r="F100" s="456">
        <f t="shared" si="30"/>
        <v>1475.8999999999999</v>
      </c>
      <c r="G100" s="456">
        <f t="shared" si="30"/>
        <v>1482.6999999999998</v>
      </c>
      <c r="H100" s="456">
        <f t="shared" si="30"/>
        <v>1490.8</v>
      </c>
      <c r="I100" s="456">
        <f t="shared" si="30"/>
        <v>1535.4880000000001</v>
      </c>
      <c r="J100" s="456">
        <f t="shared" si="30"/>
        <v>1511.1450000000004</v>
      </c>
      <c r="K100" s="456">
        <f t="shared" si="30"/>
        <v>1641.5259999999998</v>
      </c>
      <c r="L100" s="456">
        <f t="shared" si="30"/>
        <v>1580.9059999999999</v>
      </c>
      <c r="M100" s="456">
        <f t="shared" si="30"/>
        <v>1607.1250000000005</v>
      </c>
      <c r="N100" s="456">
        <f t="shared" si="30"/>
        <v>1584.94416</v>
      </c>
      <c r="O100" s="456">
        <f t="shared" si="30"/>
        <v>1587.7055066666669</v>
      </c>
      <c r="P100" s="456">
        <f t="shared" si="30"/>
        <v>1574.5626666666669</v>
      </c>
      <c r="Q100" s="456">
        <f t="shared" si="30"/>
        <v>1758.2850000000001</v>
      </c>
      <c r="R100" s="456">
        <f t="shared" si="30"/>
        <v>1767.4869999999996</v>
      </c>
      <c r="S100" s="673">
        <f t="shared" si="30"/>
        <v>1764.375</v>
      </c>
      <c r="T100" s="673">
        <f t="shared" si="30"/>
        <v>1817.6659999999999</v>
      </c>
      <c r="U100" s="673">
        <f>U96-U97</f>
        <v>1896.088</v>
      </c>
      <c r="V100" s="673">
        <f>V96-V97</f>
        <v>1916.9449999999999</v>
      </c>
      <c r="W100" s="657"/>
      <c r="X100" s="657"/>
      <c r="Y100" s="657"/>
      <c r="Z100" s="657"/>
      <c r="AA100" s="657"/>
      <c r="AB100" s="657"/>
      <c r="AC100" s="657"/>
      <c r="AD100" s="657"/>
      <c r="AE100" s="657"/>
      <c r="AF100" s="657"/>
      <c r="AG100" s="225"/>
    </row>
    <row r="101" spans="2:33" ht="20.5" customHeight="1" x14ac:dyDescent="0.35">
      <c r="B101" s="683" t="s">
        <v>800</v>
      </c>
      <c r="C101" s="684"/>
      <c r="D101" s="690">
        <f t="shared" ref="D101:I101" si="31">D12-D14-D17-D35</f>
        <v>1410.9</v>
      </c>
      <c r="E101" s="661">
        <f t="shared" si="31"/>
        <v>1470.7000000000003</v>
      </c>
      <c r="F101" s="661">
        <f t="shared" si="31"/>
        <v>1475.8999999999996</v>
      </c>
      <c r="G101" s="661">
        <f t="shared" si="31"/>
        <v>1482.6999999999998</v>
      </c>
      <c r="H101" s="661">
        <f t="shared" si="31"/>
        <v>1490.8000000000002</v>
      </c>
      <c r="I101" s="661">
        <f t="shared" si="31"/>
        <v>1542.4</v>
      </c>
      <c r="J101" s="691">
        <f>I101+($H$101-$E$101)/3</f>
        <v>1549.1000000000001</v>
      </c>
      <c r="K101" s="691">
        <f>J101+($H$101-$E$101)/3</f>
        <v>1555.8000000000002</v>
      </c>
      <c r="L101" s="691">
        <f>K101+($H$101-$E$101)/3</f>
        <v>1562.5000000000002</v>
      </c>
      <c r="M101" s="692">
        <f>L101+($H$101-$E$101)/3 +(M105-L105)</f>
        <v>1586.8430000000003</v>
      </c>
      <c r="N101" s="691">
        <f>M101+($H$101-$E$101)/3</f>
        <v>1593.5430000000003</v>
      </c>
      <c r="O101" s="691">
        <f>N101+($H$101-$E$101)/3</f>
        <v>1600.2430000000004</v>
      </c>
      <c r="P101" s="691">
        <f>O101+($H$101-$E$101)/3</f>
        <v>1606.9430000000004</v>
      </c>
      <c r="Q101" s="692">
        <f>P101+($H$101-$E$101)/3 + 0.06*Q105</f>
        <v>1685.5501200000006</v>
      </c>
      <c r="R101" s="691">
        <f>Q101+($H$101-$E$101)/3</f>
        <v>1692.2501200000006</v>
      </c>
      <c r="S101" s="691">
        <f>R101+($H$101-$E$101)/3</f>
        <v>1698.9501200000007</v>
      </c>
      <c r="T101" s="691">
        <f>S101+($H$101-$E$101)/3</f>
        <v>1705.6501200000007</v>
      </c>
      <c r="U101" s="691">
        <f>T101+U102</f>
        <v>1818.9789730000007</v>
      </c>
      <c r="V101" s="691">
        <f>U101+V102</f>
        <v>1825.6789730000007</v>
      </c>
      <c r="W101" s="685">
        <f t="shared" ref="W101:AF101" si="32">V101+W102</f>
        <v>1832.3789730000008</v>
      </c>
      <c r="X101" s="685">
        <f t="shared" si="32"/>
        <v>1839.0789730000008</v>
      </c>
      <c r="Y101" s="685">
        <f t="shared" si="32"/>
        <v>1888.4225177000008</v>
      </c>
      <c r="Z101" s="685">
        <f t="shared" si="32"/>
        <v>1895.1225177000008</v>
      </c>
      <c r="AA101" s="685">
        <f t="shared" si="32"/>
        <v>1901.8225177000008</v>
      </c>
      <c r="AB101" s="685">
        <f t="shared" si="32"/>
        <v>1908.5225177000009</v>
      </c>
      <c r="AC101" s="685">
        <f t="shared" si="32"/>
        <v>1944.8697280960009</v>
      </c>
      <c r="AD101" s="685">
        <f t="shared" si="32"/>
        <v>1951.569728096001</v>
      </c>
      <c r="AE101" s="685">
        <f t="shared" si="32"/>
        <v>1958.269728096001</v>
      </c>
      <c r="AF101" s="685">
        <f t="shared" si="32"/>
        <v>1964.9697280960011</v>
      </c>
      <c r="AG101" s="225"/>
    </row>
    <row r="102" spans="2:33" ht="20.5" customHeight="1" x14ac:dyDescent="0.35">
      <c r="B102" s="686" t="s">
        <v>1800</v>
      </c>
      <c r="C102" s="245"/>
      <c r="D102" s="700"/>
      <c r="E102" s="456"/>
      <c r="F102" s="456"/>
      <c r="G102" s="456"/>
      <c r="H102" s="456"/>
      <c r="I102" s="456"/>
      <c r="J102" s="674"/>
      <c r="K102" s="674"/>
      <c r="L102" s="674"/>
      <c r="M102" s="693"/>
      <c r="N102" s="674"/>
      <c r="O102" s="674"/>
      <c r="P102" s="674"/>
      <c r="Q102" s="693"/>
      <c r="R102" s="674"/>
      <c r="S102" s="674"/>
      <c r="T102" s="674"/>
      <c r="U102" s="674">
        <f>U103+U104</f>
        <v>113.32885299999995</v>
      </c>
      <c r="V102" s="674">
        <f>V103+V104</f>
        <v>6.69999999999997</v>
      </c>
      <c r="W102" s="657">
        <f t="shared" ref="W102:AF102" si="33">W103+W108*W105</f>
        <v>6.69999999999997</v>
      </c>
      <c r="X102" s="657">
        <f t="shared" si="33"/>
        <v>6.69999999999997</v>
      </c>
      <c r="Y102" s="657">
        <f t="shared" si="33"/>
        <v>49.34354469999996</v>
      </c>
      <c r="Z102" s="657">
        <f t="shared" si="33"/>
        <v>6.69999999999997</v>
      </c>
      <c r="AA102" s="657">
        <f t="shared" si="33"/>
        <v>6.69999999999997</v>
      </c>
      <c r="AB102" s="657">
        <f t="shared" si="33"/>
        <v>6.69999999999997</v>
      </c>
      <c r="AC102" s="657">
        <f t="shared" si="33"/>
        <v>36.347210395999973</v>
      </c>
      <c r="AD102" s="657">
        <f t="shared" si="33"/>
        <v>6.69999999999997</v>
      </c>
      <c r="AE102" s="657">
        <f t="shared" si="33"/>
        <v>6.69999999999997</v>
      </c>
      <c r="AF102" s="657">
        <f t="shared" si="33"/>
        <v>6.69999999999997</v>
      </c>
      <c r="AG102" s="225"/>
    </row>
    <row r="103" spans="2:33" ht="28.4" customHeight="1" x14ac:dyDescent="0.35">
      <c r="B103" s="687" t="s">
        <v>1797</v>
      </c>
      <c r="C103" s="245"/>
      <c r="D103" s="700"/>
      <c r="E103" s="456"/>
      <c r="F103" s="456"/>
      <c r="G103" s="456"/>
      <c r="H103" s="456"/>
      <c r="I103" s="456"/>
      <c r="J103" s="674"/>
      <c r="K103" s="674"/>
      <c r="L103" s="674"/>
      <c r="M103" s="693"/>
      <c r="N103" s="674"/>
      <c r="O103" s="674"/>
      <c r="P103" s="674"/>
      <c r="Q103" s="693"/>
      <c r="R103" s="674"/>
      <c r="S103" s="674"/>
      <c r="T103" s="674"/>
      <c r="U103" s="674">
        <f>($H$101-$E$101)/3</f>
        <v>6.69999999999997</v>
      </c>
      <c r="V103" s="674">
        <f>($H$101-$E$101)/3</f>
        <v>6.69999999999997</v>
      </c>
      <c r="W103" s="657">
        <f t="shared" ref="W103:AF103" si="34">V103</f>
        <v>6.69999999999997</v>
      </c>
      <c r="X103" s="657">
        <f t="shared" si="34"/>
        <v>6.69999999999997</v>
      </c>
      <c r="Y103" s="657">
        <f t="shared" si="34"/>
        <v>6.69999999999997</v>
      </c>
      <c r="Z103" s="657">
        <f t="shared" si="34"/>
        <v>6.69999999999997</v>
      </c>
      <c r="AA103" s="657">
        <f t="shared" si="34"/>
        <v>6.69999999999997</v>
      </c>
      <c r="AB103" s="657">
        <f t="shared" si="34"/>
        <v>6.69999999999997</v>
      </c>
      <c r="AC103" s="657">
        <f t="shared" si="34"/>
        <v>6.69999999999997</v>
      </c>
      <c r="AD103" s="657">
        <f t="shared" si="34"/>
        <v>6.69999999999997</v>
      </c>
      <c r="AE103" s="657">
        <f t="shared" si="34"/>
        <v>6.69999999999997</v>
      </c>
      <c r="AF103" s="657">
        <f t="shared" si="34"/>
        <v>6.69999999999997</v>
      </c>
      <c r="AG103" s="225"/>
    </row>
    <row r="104" spans="2:33" ht="30.65" customHeight="1" x14ac:dyDescent="0.35">
      <c r="B104" s="688" t="s">
        <v>1798</v>
      </c>
      <c r="C104" s="689"/>
      <c r="D104" s="694"/>
      <c r="E104" s="662"/>
      <c r="F104" s="662"/>
      <c r="G104" s="662"/>
      <c r="H104" s="662"/>
      <c r="I104" s="662"/>
      <c r="J104" s="695"/>
      <c r="K104" s="695"/>
      <c r="L104" s="695"/>
      <c r="M104" s="696"/>
      <c r="N104" s="695"/>
      <c r="O104" s="695"/>
      <c r="P104" s="695"/>
      <c r="Q104" s="696"/>
      <c r="R104" s="695"/>
      <c r="S104" s="695"/>
      <c r="T104" s="695"/>
      <c r="U104" s="695">
        <f>U108*T105</f>
        <v>106.62885299999998</v>
      </c>
      <c r="V104" s="695">
        <f>V108*U105</f>
        <v>0</v>
      </c>
      <c r="W104" s="697">
        <f t="shared" ref="W104:AF104" si="35">W108*V105</f>
        <v>0</v>
      </c>
      <c r="X104" s="697">
        <f t="shared" si="35"/>
        <v>0</v>
      </c>
      <c r="Y104" s="697">
        <f>Y108*X105</f>
        <v>41.168489999999998</v>
      </c>
      <c r="Z104" s="697">
        <f t="shared" si="35"/>
        <v>0</v>
      </c>
      <c r="AA104" s="697">
        <f t="shared" si="35"/>
        <v>0</v>
      </c>
      <c r="AB104" s="697">
        <f t="shared" si="35"/>
        <v>0</v>
      </c>
      <c r="AC104" s="697">
        <f t="shared" si="35"/>
        <v>28.909029799999999</v>
      </c>
      <c r="AD104" s="697">
        <f t="shared" si="35"/>
        <v>0</v>
      </c>
      <c r="AE104" s="697">
        <f t="shared" si="35"/>
        <v>0</v>
      </c>
      <c r="AF104" s="697">
        <f t="shared" si="35"/>
        <v>0</v>
      </c>
      <c r="AG104" s="225"/>
    </row>
    <row r="105" spans="2:33" ht="17.5" customHeight="1" x14ac:dyDescent="0.35">
      <c r="B105" s="559" t="s">
        <v>473</v>
      </c>
      <c r="C105" s="245" t="s">
        <v>474</v>
      </c>
      <c r="D105" s="700">
        <f>'Haver Pivoted'!GO88/1000</f>
        <v>983.86099999999999</v>
      </c>
      <c r="E105" s="456">
        <f>'Haver Pivoted'!GP88/1000</f>
        <v>1019.19</v>
      </c>
      <c r="F105" s="456">
        <f>'Haver Pivoted'!GQ88/1000</f>
        <v>1026.704</v>
      </c>
      <c r="G105" s="456">
        <f>'Haver Pivoted'!GR88/1000</f>
        <v>1034.4169999999999</v>
      </c>
      <c r="H105" s="456">
        <f>'Haver Pivoted'!GS88/1000</f>
        <v>1042.6610000000001</v>
      </c>
      <c r="I105" s="456">
        <f>'Haver Pivoted'!GT88/1000</f>
        <v>1068.201</v>
      </c>
      <c r="J105" s="456">
        <f>'Haver Pivoted'!GU88/1000</f>
        <v>1075.075</v>
      </c>
      <c r="K105" s="456">
        <f>'Haver Pivoted'!GV88/1000</f>
        <v>1080.441</v>
      </c>
      <c r="L105" s="456">
        <f>'Haver Pivoted'!GW88/1000</f>
        <v>1087.9949999999999</v>
      </c>
      <c r="M105" s="456">
        <f>'Haver Pivoted'!GX88/1000</f>
        <v>1105.6379999999999</v>
      </c>
      <c r="N105" s="456">
        <f>'Haver Pivoted'!GY88/1000</f>
        <v>1109.6400000000001</v>
      </c>
      <c r="O105" s="456">
        <f>'Haver Pivoted'!GZ88/1000</f>
        <v>1116.9480000000001</v>
      </c>
      <c r="P105" s="456">
        <f>'Haver Pivoted'!HA88/1000</f>
        <v>1126.174</v>
      </c>
      <c r="Q105" s="456">
        <f>'Haver Pivoted'!HB88/1000</f>
        <v>1198.452</v>
      </c>
      <c r="R105" s="456">
        <f>'Haver Pivoted'!HC88/1000</f>
        <v>1207.163</v>
      </c>
      <c r="S105" s="673">
        <f>'Haver Pivoted'!HD88/1000</f>
        <v>1214.7809999999999</v>
      </c>
      <c r="T105" s="673">
        <f>'Haver Pivoted'!HE88/1000</f>
        <v>1225.6189999999999</v>
      </c>
      <c r="U105" s="673">
        <f>'Haver Pivoted'!HF88/1000</f>
        <v>1339.904</v>
      </c>
      <c r="V105" s="673">
        <f>'Haver Pivoted'!HG88/1000</f>
        <v>1353.2829999999999</v>
      </c>
      <c r="W105" s="657">
        <f t="shared" ref="W105:AF105" si="36">V105+W106</f>
        <v>1364.2829999999999</v>
      </c>
      <c r="X105" s="657">
        <f t="shared" si="36"/>
        <v>1372.2829999999999</v>
      </c>
      <c r="Y105" s="657">
        <f t="shared" si="36"/>
        <v>1421.4514899999999</v>
      </c>
      <c r="Z105" s="657">
        <f t="shared" si="36"/>
        <v>1429.4514899999999</v>
      </c>
      <c r="AA105" s="657">
        <f t="shared" si="36"/>
        <v>1437.4514899999999</v>
      </c>
      <c r="AB105" s="657">
        <f t="shared" si="36"/>
        <v>1445.4514899999999</v>
      </c>
      <c r="AC105" s="657">
        <f t="shared" si="36"/>
        <v>1482.3605198</v>
      </c>
      <c r="AD105" s="657">
        <f t="shared" si="36"/>
        <v>1491.3605198</v>
      </c>
      <c r="AE105" s="657">
        <f t="shared" si="36"/>
        <v>1501.3605198</v>
      </c>
      <c r="AF105" s="657">
        <f t="shared" si="36"/>
        <v>1512.3605198</v>
      </c>
      <c r="AG105" s="225"/>
    </row>
    <row r="106" spans="2:33" ht="17.5" customHeight="1" x14ac:dyDescent="0.35">
      <c r="B106" s="429" t="s">
        <v>1799</v>
      </c>
      <c r="C106" s="245"/>
      <c r="D106" s="700"/>
      <c r="E106" s="456"/>
      <c r="F106" s="456"/>
      <c r="G106" s="456"/>
      <c r="H106" s="456"/>
      <c r="I106" s="456"/>
      <c r="J106" s="456"/>
      <c r="K106" s="456"/>
      <c r="L106" s="456"/>
      <c r="M106" s="456"/>
      <c r="N106" s="456"/>
      <c r="O106" s="456"/>
      <c r="P106" s="456"/>
      <c r="Q106" s="456"/>
      <c r="R106" s="456"/>
      <c r="S106" s="673"/>
      <c r="T106" s="673"/>
      <c r="U106" s="673">
        <f>U104+U107</f>
        <v>114.62885299999998</v>
      </c>
      <c r="V106" s="673">
        <f>V104+V107</f>
        <v>8</v>
      </c>
      <c r="W106" s="657">
        <f t="shared" ref="W106:AF106" si="37">W104+W107</f>
        <v>11</v>
      </c>
      <c r="X106" s="657">
        <f t="shared" si="37"/>
        <v>8</v>
      </c>
      <c r="Y106" s="657">
        <f>Y104+Y107</f>
        <v>49.168489999999998</v>
      </c>
      <c r="Z106" s="657">
        <f t="shared" si="37"/>
        <v>8</v>
      </c>
      <c r="AA106" s="657">
        <f t="shared" si="37"/>
        <v>8</v>
      </c>
      <c r="AB106" s="657">
        <f t="shared" si="37"/>
        <v>8</v>
      </c>
      <c r="AC106" s="657">
        <f t="shared" si="37"/>
        <v>36.909029799999999</v>
      </c>
      <c r="AD106" s="657">
        <f t="shared" si="37"/>
        <v>9</v>
      </c>
      <c r="AE106" s="657">
        <f t="shared" si="37"/>
        <v>10</v>
      </c>
      <c r="AF106" s="657">
        <f t="shared" si="37"/>
        <v>11</v>
      </c>
      <c r="AG106" s="225"/>
    </row>
    <row r="107" spans="2:33" ht="17.5" customHeight="1" x14ac:dyDescent="0.35">
      <c r="B107" s="421" t="s">
        <v>1802</v>
      </c>
      <c r="C107" s="245"/>
      <c r="D107" s="700"/>
      <c r="E107" s="456"/>
      <c r="F107" s="456"/>
      <c r="G107" s="456"/>
      <c r="H107" s="456"/>
      <c r="I107" s="456"/>
      <c r="J107" s="456"/>
      <c r="K107" s="456"/>
      <c r="L107" s="456"/>
      <c r="M107" s="456"/>
      <c r="N107" s="456"/>
      <c r="O107" s="456"/>
      <c r="P107" s="456"/>
      <c r="Q107" s="456"/>
      <c r="R107" s="456"/>
      <c r="S107" s="673"/>
      <c r="T107" s="673"/>
      <c r="U107" s="673">
        <v>8</v>
      </c>
      <c r="V107" s="673">
        <v>8</v>
      </c>
      <c r="W107" s="657">
        <v>11</v>
      </c>
      <c r="X107" s="657">
        <v>8</v>
      </c>
      <c r="Y107" s="657">
        <v>8</v>
      </c>
      <c r="Z107" s="657">
        <v>8</v>
      </c>
      <c r="AA107" s="657">
        <v>8</v>
      </c>
      <c r="AB107" s="657">
        <v>8</v>
      </c>
      <c r="AC107" s="657">
        <v>8</v>
      </c>
      <c r="AD107" s="657">
        <v>9</v>
      </c>
      <c r="AE107" s="657">
        <v>10</v>
      </c>
      <c r="AF107" s="657">
        <v>11</v>
      </c>
      <c r="AG107" s="225"/>
    </row>
    <row r="108" spans="2:33" ht="39" customHeight="1" x14ac:dyDescent="0.35">
      <c r="B108" s="421" t="s">
        <v>1803</v>
      </c>
      <c r="C108" s="245"/>
      <c r="D108" s="700"/>
      <c r="E108" s="456"/>
      <c r="F108" s="456"/>
      <c r="G108" s="456"/>
      <c r="H108" s="456"/>
      <c r="I108" s="662"/>
      <c r="J108" s="662"/>
      <c r="K108" s="662"/>
      <c r="L108" s="662"/>
      <c r="M108" s="662"/>
      <c r="N108" s="662"/>
      <c r="O108" s="662"/>
      <c r="P108" s="662"/>
      <c r="Q108" s="662"/>
      <c r="R108" s="662"/>
      <c r="S108" s="698"/>
      <c r="T108" s="698"/>
      <c r="U108" s="675">
        <v>8.6999999999999994E-2</v>
      </c>
      <c r="V108" s="663">
        <v>0</v>
      </c>
      <c r="W108" s="699">
        <v>0</v>
      </c>
      <c r="X108" s="699">
        <v>0</v>
      </c>
      <c r="Y108" s="699">
        <v>0.03</v>
      </c>
      <c r="Z108" s="699">
        <v>0</v>
      </c>
      <c r="AA108" s="699">
        <v>0</v>
      </c>
      <c r="AB108" s="699">
        <v>0</v>
      </c>
      <c r="AC108" s="699">
        <v>0.02</v>
      </c>
      <c r="AD108" s="699">
        <v>0</v>
      </c>
      <c r="AE108" s="699">
        <v>0</v>
      </c>
      <c r="AF108" s="699">
        <v>0</v>
      </c>
      <c r="AG108" s="225"/>
    </row>
    <row r="109" spans="2:33" ht="49.75" customHeight="1" x14ac:dyDescent="0.35">
      <c r="B109" s="488" t="s">
        <v>1426</v>
      </c>
      <c r="C109" s="245"/>
      <c r="D109" s="700">
        <f t="shared" ref="D109:T109" si="38">D100-D101</f>
        <v>0</v>
      </c>
      <c r="E109" s="456">
        <f t="shared" si="38"/>
        <v>0</v>
      </c>
      <c r="F109" s="456">
        <f t="shared" si="38"/>
        <v>0</v>
      </c>
      <c r="G109" s="456">
        <f t="shared" si="38"/>
        <v>0</v>
      </c>
      <c r="H109" s="456">
        <f t="shared" si="38"/>
        <v>0</v>
      </c>
      <c r="I109" s="456">
        <f t="shared" si="38"/>
        <v>-6.9120000000000346</v>
      </c>
      <c r="J109" s="456">
        <f t="shared" si="38"/>
        <v>-37.9549999999997</v>
      </c>
      <c r="K109" s="456">
        <f t="shared" si="38"/>
        <v>85.725999999999658</v>
      </c>
      <c r="L109" s="456">
        <f t="shared" si="38"/>
        <v>18.405999999999722</v>
      </c>
      <c r="M109" s="456">
        <f t="shared" si="38"/>
        <v>20.282000000000153</v>
      </c>
      <c r="N109" s="456">
        <f t="shared" si="38"/>
        <v>-8.5988400000003367</v>
      </c>
      <c r="O109" s="456">
        <f t="shared" si="38"/>
        <v>-12.537493333333487</v>
      </c>
      <c r="P109" s="456">
        <f t="shared" si="38"/>
        <v>-32.38033333333351</v>
      </c>
      <c r="Q109" s="456">
        <f t="shared" si="38"/>
        <v>72.734879999999521</v>
      </c>
      <c r="R109" s="456">
        <f t="shared" si="38"/>
        <v>75.236879999999019</v>
      </c>
      <c r="S109" s="673">
        <f t="shared" si="38"/>
        <v>65.424879999999348</v>
      </c>
      <c r="T109" s="673">
        <f t="shared" si="38"/>
        <v>112.01587999999924</v>
      </c>
      <c r="U109" s="673">
        <f>U100-U101</f>
        <v>77.109026999999287</v>
      </c>
      <c r="V109" s="673">
        <f>V100-V101</f>
        <v>91.266026999999212</v>
      </c>
      <c r="W109" s="657">
        <f t="shared" ref="W109:AF109" si="39">V109</f>
        <v>91.266026999999212</v>
      </c>
      <c r="X109" s="657">
        <f t="shared" si="39"/>
        <v>91.266026999999212</v>
      </c>
      <c r="Y109" s="657">
        <f t="shared" si="39"/>
        <v>91.266026999999212</v>
      </c>
      <c r="Z109" s="657">
        <f t="shared" si="39"/>
        <v>91.266026999999212</v>
      </c>
      <c r="AA109" s="657">
        <f t="shared" si="39"/>
        <v>91.266026999999212</v>
      </c>
      <c r="AB109" s="657">
        <f t="shared" si="39"/>
        <v>91.266026999999212</v>
      </c>
      <c r="AC109" s="657">
        <f t="shared" si="39"/>
        <v>91.266026999999212</v>
      </c>
      <c r="AD109" s="657">
        <f t="shared" si="39"/>
        <v>91.266026999999212</v>
      </c>
      <c r="AE109" s="657">
        <f t="shared" si="39"/>
        <v>91.266026999999212</v>
      </c>
      <c r="AF109" s="657">
        <f t="shared" si="39"/>
        <v>91.266026999999212</v>
      </c>
      <c r="AG109" s="225"/>
    </row>
    <row r="110" spans="2:33" ht="29.5" customHeight="1" x14ac:dyDescent="0.35">
      <c r="B110" s="280"/>
      <c r="C110" s="245"/>
      <c r="D110" s="234"/>
      <c r="E110" s="234"/>
      <c r="F110" s="234"/>
      <c r="G110" s="234"/>
      <c r="H110" s="234"/>
      <c r="I110" s="234"/>
      <c r="J110" s="234"/>
      <c r="K110" s="234"/>
      <c r="L110" s="234"/>
      <c r="M110" s="234"/>
      <c r="N110" s="234"/>
      <c r="O110" s="234"/>
      <c r="P110" s="234"/>
      <c r="Q110" s="234"/>
      <c r="R110" s="234"/>
      <c r="S110" s="234"/>
      <c r="T110" s="234"/>
      <c r="U110" s="234"/>
      <c r="V110" s="234"/>
      <c r="W110" s="234"/>
      <c r="X110" s="234"/>
      <c r="Y110" s="234"/>
      <c r="Z110" s="234"/>
      <c r="AA110" s="234"/>
      <c r="AB110" s="234"/>
      <c r="AC110" s="234"/>
    </row>
    <row r="111" spans="2:33" ht="16.75" customHeight="1" x14ac:dyDescent="0.35">
      <c r="B111" s="245"/>
      <c r="C111" s="245"/>
      <c r="S111" s="503"/>
      <c r="T111" s="503"/>
      <c r="U111" s="245"/>
      <c r="V111" s="245"/>
      <c r="W111" s="245"/>
      <c r="X111" s="245"/>
      <c r="Y111" s="245"/>
      <c r="Z111" s="245"/>
      <c r="AA111" s="245"/>
      <c r="AB111" s="245"/>
      <c r="AC111" s="245"/>
    </row>
    <row r="112" spans="2:33" ht="16.75" customHeight="1" x14ac:dyDescent="0.35">
      <c r="B112" s="245"/>
      <c r="C112" s="245"/>
      <c r="S112" s="234"/>
      <c r="T112" s="234"/>
      <c r="U112" s="245"/>
      <c r="V112" s="245"/>
      <c r="W112" s="245"/>
      <c r="X112" s="245"/>
      <c r="Y112" s="245"/>
      <c r="Z112" s="245"/>
      <c r="AA112" s="245"/>
      <c r="AB112" s="245"/>
      <c r="AC112" s="245"/>
    </row>
    <row r="113" spans="2:30" ht="16.75" customHeight="1" x14ac:dyDescent="0.35">
      <c r="B113" s="245"/>
      <c r="C113" s="245"/>
      <c r="S113" s="234"/>
      <c r="T113" s="234"/>
      <c r="U113" s="245"/>
      <c r="V113" s="245"/>
      <c r="W113" s="245"/>
      <c r="X113" s="245"/>
      <c r="Y113" s="245"/>
      <c r="Z113" s="245"/>
      <c r="AA113" s="245"/>
      <c r="AB113" s="245"/>
      <c r="AC113" s="245"/>
    </row>
    <row r="114" spans="2:30" ht="16.75" customHeight="1" x14ac:dyDescent="0.35">
      <c r="B114" s="245"/>
      <c r="C114" s="245"/>
      <c r="S114" s="234"/>
      <c r="T114" s="234"/>
      <c r="U114" s="456"/>
      <c r="V114" s="456"/>
      <c r="W114" s="456"/>
      <c r="X114" s="456"/>
      <c r="Y114" s="456"/>
      <c r="Z114" s="456"/>
      <c r="AA114" s="456"/>
      <c r="AB114" s="456"/>
      <c r="AC114" s="456"/>
      <c r="AD114" s="526"/>
    </row>
    <row r="115" spans="2:30" ht="16.75" customHeight="1" x14ac:dyDescent="0.35">
      <c r="B115" s="230"/>
      <c r="C115" s="245"/>
      <c r="S115" s="234"/>
      <c r="T115" s="234"/>
      <c r="U115" s="234"/>
      <c r="V115" s="234"/>
      <c r="W115" s="234"/>
      <c r="X115" s="234"/>
      <c r="Y115" s="234"/>
      <c r="Z115" s="234"/>
      <c r="AA115" s="234"/>
      <c r="AB115" s="234"/>
      <c r="AC115" s="234"/>
      <c r="AD115" s="526"/>
    </row>
    <row r="116" spans="2:30" ht="16.75" customHeight="1" x14ac:dyDescent="0.35">
      <c r="B116" s="230"/>
      <c r="C116" s="245"/>
      <c r="S116" s="234"/>
      <c r="T116" s="234"/>
      <c r="U116" s="234"/>
      <c r="V116" s="234"/>
      <c r="W116" s="234"/>
      <c r="X116" s="234"/>
      <c r="Y116" s="234"/>
      <c r="Z116" s="234"/>
      <c r="AA116" s="234"/>
      <c r="AB116" s="234"/>
      <c r="AC116" s="234"/>
      <c r="AD116" s="526"/>
    </row>
    <row r="117" spans="2:30" ht="16.75" customHeight="1" x14ac:dyDescent="0.35">
      <c r="B117" s="230"/>
      <c r="C117" s="245"/>
      <c r="S117" s="234"/>
      <c r="T117" s="234"/>
      <c r="U117" s="234"/>
      <c r="V117" s="234"/>
      <c r="W117" s="234"/>
      <c r="X117" s="234"/>
      <c r="Y117" s="234"/>
      <c r="Z117" s="234"/>
      <c r="AA117" s="234"/>
      <c r="AB117" s="234"/>
      <c r="AC117" s="234"/>
      <c r="AD117" s="526"/>
    </row>
    <row r="118" spans="2:30" ht="16.75" customHeight="1" x14ac:dyDescent="0.35">
      <c r="B118" s="245"/>
      <c r="C118" s="245"/>
      <c r="S118" s="245"/>
      <c r="T118" s="245"/>
      <c r="U118" s="456"/>
      <c r="V118" s="456"/>
      <c r="W118" s="456"/>
      <c r="X118" s="456"/>
      <c r="Y118" s="456"/>
      <c r="Z118" s="456"/>
      <c r="AA118" s="456"/>
      <c r="AB118" s="456"/>
      <c r="AC118" s="456"/>
      <c r="AD118" s="526"/>
    </row>
    <row r="119" spans="2:30" ht="16.75" customHeight="1" x14ac:dyDescent="0.35">
      <c r="B119" s="230"/>
      <c r="C119" s="245"/>
      <c r="S119" s="245"/>
      <c r="T119" s="245"/>
      <c r="U119" s="456"/>
      <c r="V119" s="456"/>
      <c r="W119" s="456"/>
      <c r="X119" s="456"/>
      <c r="Y119" s="456"/>
      <c r="Z119" s="456"/>
      <c r="AA119" s="456"/>
      <c r="AB119" s="456"/>
      <c r="AC119" s="456"/>
      <c r="AD119" s="526"/>
    </row>
    <row r="120" spans="2:30" ht="16.75" customHeight="1" x14ac:dyDescent="0.35">
      <c r="B120" s="230"/>
      <c r="C120" s="245"/>
      <c r="S120" s="245"/>
      <c r="T120" s="245"/>
      <c r="U120" s="234"/>
      <c r="V120" s="234"/>
      <c r="W120" s="234"/>
      <c r="X120" s="234"/>
      <c r="Y120" s="234"/>
      <c r="Z120" s="234"/>
      <c r="AA120" s="234"/>
      <c r="AB120" s="234"/>
      <c r="AC120" s="234"/>
      <c r="AD120" s="526"/>
    </row>
    <row r="121" spans="2:30" ht="16.75" customHeight="1" x14ac:dyDescent="0.35">
      <c r="B121" s="230"/>
      <c r="C121" s="245"/>
      <c r="S121" s="245"/>
      <c r="T121" s="245"/>
      <c r="U121" s="676"/>
      <c r="V121" s="676"/>
      <c r="W121" s="676"/>
      <c r="X121" s="676"/>
      <c r="Y121" s="676"/>
      <c r="Z121" s="676"/>
      <c r="AA121" s="676"/>
      <c r="AB121" s="676"/>
      <c r="AC121" s="676"/>
      <c r="AD121" s="526"/>
    </row>
    <row r="122" spans="2:30" ht="16.75" customHeight="1" x14ac:dyDescent="0.35">
      <c r="B122" s="245"/>
      <c r="C122" s="245"/>
      <c r="S122" s="234"/>
      <c r="T122" s="234"/>
      <c r="U122" s="234"/>
      <c r="V122" s="234"/>
      <c r="W122" s="234"/>
      <c r="X122" s="234"/>
      <c r="Y122" s="234"/>
      <c r="Z122" s="234"/>
      <c r="AA122" s="234"/>
      <c r="AB122" s="234"/>
      <c r="AC122" s="234"/>
      <c r="AD122" s="526"/>
    </row>
    <row r="123" spans="2:30" ht="22.5" customHeight="1" x14ac:dyDescent="0.35">
      <c r="B123" s="280"/>
      <c r="C123" s="245"/>
      <c r="D123" s="234"/>
      <c r="E123" s="234"/>
      <c r="F123" s="234"/>
      <c r="G123" s="234"/>
      <c r="H123" s="234"/>
      <c r="I123" s="234"/>
      <c r="J123" s="234"/>
      <c r="K123" s="234"/>
      <c r="L123" s="234"/>
      <c r="M123" s="234"/>
      <c r="N123" s="234"/>
      <c r="O123" s="234"/>
      <c r="P123" s="234"/>
      <c r="Q123" s="234"/>
      <c r="R123" s="234"/>
      <c r="S123" s="234"/>
      <c r="T123" s="234"/>
      <c r="U123" s="234"/>
      <c r="V123" s="234"/>
      <c r="W123" s="234"/>
      <c r="X123" s="234"/>
      <c r="Y123" s="234"/>
      <c r="Z123" s="234"/>
      <c r="AA123" s="234"/>
      <c r="AB123" s="234"/>
      <c r="AC123" s="234"/>
    </row>
    <row r="124" spans="2:30" ht="22.5" customHeight="1" x14ac:dyDescent="0.35">
      <c r="B124" s="280"/>
      <c r="C124" s="245"/>
      <c r="D124" s="234"/>
      <c r="E124" s="234"/>
      <c r="F124" s="234"/>
      <c r="G124" s="234"/>
      <c r="H124" s="234"/>
      <c r="I124" s="234"/>
      <c r="J124" s="234"/>
      <c r="K124" s="234"/>
      <c r="L124" s="234"/>
      <c r="M124" s="234"/>
      <c r="N124" s="234"/>
      <c r="O124" s="234"/>
      <c r="P124" s="234"/>
      <c r="Q124" s="234"/>
      <c r="R124" s="234"/>
      <c r="S124" s="234"/>
      <c r="T124" s="234"/>
      <c r="U124" s="234"/>
      <c r="V124" s="234"/>
      <c r="W124" s="234"/>
      <c r="X124" s="234"/>
      <c r="Y124" s="234"/>
      <c r="Z124" s="234"/>
      <c r="AA124" s="234"/>
      <c r="AB124" s="234"/>
      <c r="AC124" s="234"/>
    </row>
    <row r="125" spans="2:30" ht="38.5" customHeight="1" x14ac:dyDescent="0.35">
      <c r="B125" s="497"/>
      <c r="C125" s="724">
        <v>2022</v>
      </c>
      <c r="D125" s="725">
        <v>2023</v>
      </c>
      <c r="E125" s="725">
        <v>2024</v>
      </c>
      <c r="F125" s="726">
        <v>2025</v>
      </c>
      <c r="G125" s="234">
        <v>2026</v>
      </c>
      <c r="H125" s="234"/>
      <c r="I125" s="234"/>
      <c r="J125" s="234"/>
      <c r="K125" s="234"/>
      <c r="L125" s="234"/>
      <c r="M125" s="234"/>
      <c r="N125" s="234"/>
      <c r="O125" s="234"/>
      <c r="P125" s="234"/>
      <c r="Q125" s="234"/>
      <c r="R125" s="234"/>
      <c r="S125" s="234"/>
      <c r="T125" s="234"/>
      <c r="U125" s="234"/>
      <c r="V125" s="234"/>
      <c r="W125" s="234"/>
      <c r="X125" s="234"/>
      <c r="Y125" s="234"/>
      <c r="Z125" s="234"/>
      <c r="AA125" s="234"/>
      <c r="AB125" s="234"/>
      <c r="AC125" s="234"/>
    </row>
    <row r="126" spans="2:30" ht="38.5" customHeight="1" x14ac:dyDescent="0.35">
      <c r="B126" s="533" t="s">
        <v>1796</v>
      </c>
      <c r="C126" s="266">
        <v>1212.4870000000001</v>
      </c>
      <c r="D126" s="266">
        <v>1344.7529999999999</v>
      </c>
      <c r="E126" s="266">
        <v>1456.7</v>
      </c>
      <c r="F126" s="266">
        <v>1553.5309999999999</v>
      </c>
      <c r="G126" s="266">
        <v>1643.9870000000001</v>
      </c>
      <c r="H126" s="234"/>
      <c r="I126" s="234"/>
      <c r="J126" s="234"/>
      <c r="K126" s="234"/>
      <c r="L126" s="234"/>
      <c r="M126" s="234"/>
      <c r="N126" s="234"/>
      <c r="O126" s="234"/>
      <c r="P126" s="234"/>
      <c r="Q126" s="234"/>
      <c r="R126" s="234"/>
      <c r="S126" s="234"/>
      <c r="T126" s="234"/>
      <c r="U126" s="234"/>
      <c r="V126" s="234"/>
      <c r="W126" s="234"/>
      <c r="X126" s="234"/>
      <c r="Y126" s="234"/>
      <c r="Z126" s="234"/>
      <c r="AA126" s="234"/>
      <c r="AB126" s="234"/>
      <c r="AC126" s="234"/>
    </row>
    <row r="127" spans="2:30" ht="69" customHeight="1" x14ac:dyDescent="0.35">
      <c r="B127" s="280"/>
      <c r="C127" s="245"/>
      <c r="D127" s="234"/>
      <c r="E127" s="234"/>
      <c r="F127" s="234"/>
      <c r="G127" s="234"/>
      <c r="H127" s="234"/>
      <c r="I127" s="234"/>
      <c r="J127" s="234"/>
      <c r="K127" s="234"/>
      <c r="L127" s="234"/>
      <c r="M127" s="234"/>
      <c r="N127" s="234"/>
      <c r="O127" s="234"/>
      <c r="P127" s="234"/>
      <c r="Q127" s="234"/>
      <c r="R127" s="234"/>
      <c r="S127" s="234"/>
      <c r="T127" s="234"/>
      <c r="U127" s="234"/>
      <c r="V127" s="234"/>
      <c r="W127" s="234"/>
      <c r="X127" s="234"/>
      <c r="Y127" s="234"/>
      <c r="Z127" s="234"/>
      <c r="AA127" s="234"/>
      <c r="AB127" s="234"/>
      <c r="AC127" s="234"/>
    </row>
    <row r="128" spans="2:30" x14ac:dyDescent="0.35">
      <c r="B128" s="69" t="s">
        <v>1425</v>
      </c>
      <c r="D128" s="245"/>
      <c r="E128" s="245"/>
      <c r="F128" s="245"/>
      <c r="G128" s="245"/>
      <c r="H128" s="245"/>
      <c r="I128" s="245"/>
      <c r="J128" s="245"/>
      <c r="K128" s="245"/>
      <c r="L128" s="245"/>
      <c r="M128" s="234"/>
      <c r="N128" s="234"/>
      <c r="O128" s="234"/>
      <c r="P128" s="245"/>
    </row>
    <row r="129" spans="2:18" x14ac:dyDescent="0.35">
      <c r="B129" s="567" t="s">
        <v>806</v>
      </c>
      <c r="C129" s="440"/>
      <c r="D129" s="715">
        <v>2021</v>
      </c>
      <c r="E129" s="715">
        <v>2022</v>
      </c>
      <c r="F129" s="715">
        <v>2023</v>
      </c>
      <c r="G129" s="716">
        <v>2024</v>
      </c>
      <c r="R129" s="526"/>
    </row>
    <row r="130" spans="2:18" x14ac:dyDescent="0.35">
      <c r="B130" s="621" t="s">
        <v>807</v>
      </c>
      <c r="C130" s="721"/>
      <c r="D130" s="711">
        <v>3605.8330000000001</v>
      </c>
      <c r="E130" s="711">
        <v>2900</v>
      </c>
      <c r="F130" s="711">
        <f>E130*1.02</f>
        <v>2958</v>
      </c>
      <c r="G130" s="712">
        <f>F130*1.06</f>
        <v>3135.48</v>
      </c>
    </row>
    <row r="131" spans="2:18" x14ac:dyDescent="0.35">
      <c r="B131" s="621" t="s">
        <v>810</v>
      </c>
      <c r="C131" s="713"/>
      <c r="D131" s="710">
        <f>AVERAGE(Medicare!L10:O10)</f>
        <v>862.99999999999989</v>
      </c>
      <c r="E131" s="710">
        <f>AVERAGE(Medicare!P10:S10)</f>
        <v>921</v>
      </c>
      <c r="F131" s="710">
        <f>AVERAGE(Medicare!T10:W10)</f>
        <v>990.32499999999993</v>
      </c>
      <c r="G131" s="719">
        <f>AVERAGE(Medicare!X10:AA10)</f>
        <v>1060.45</v>
      </c>
    </row>
    <row r="132" spans="2:18" ht="13.4" customHeight="1" x14ac:dyDescent="0.35">
      <c r="B132" s="621" t="s">
        <v>808</v>
      </c>
      <c r="C132" s="713"/>
      <c r="D132" s="710">
        <f>D130-D131</f>
        <v>2742.8330000000001</v>
      </c>
      <c r="E132" s="710">
        <f t="shared" ref="E132:G132" si="40">E130-E131</f>
        <v>1979</v>
      </c>
      <c r="F132" s="710">
        <f t="shared" si="40"/>
        <v>1967.6750000000002</v>
      </c>
      <c r="G132" s="719">
        <f t="shared" si="40"/>
        <v>2075.0299999999997</v>
      </c>
    </row>
    <row r="133" spans="2:18" x14ac:dyDescent="0.35">
      <c r="B133" s="621" t="s">
        <v>811</v>
      </c>
      <c r="C133" s="713"/>
      <c r="D133" s="710">
        <f>AVERAGE(L12:O12)</f>
        <v>3637.2999999999997</v>
      </c>
      <c r="E133" s="710">
        <f>AVERAGE(P12:S12)</f>
        <v>2967.5250000000001</v>
      </c>
      <c r="F133" s="710">
        <f>AVERAGE(T12:W12)</f>
        <v>3086.4962499999997</v>
      </c>
      <c r="G133" s="719">
        <f>AVERAGE(X12:AA12)</f>
        <v>3320.0816585250004</v>
      </c>
    </row>
    <row r="134" spans="2:18" x14ac:dyDescent="0.35">
      <c r="B134" s="621" t="s">
        <v>810</v>
      </c>
      <c r="C134" s="713"/>
      <c r="D134" s="710">
        <f>AVERAGE(Medicare!L10:O10)</f>
        <v>862.99999999999989</v>
      </c>
      <c r="E134" s="710">
        <f>AVERAGE(Medicare!P10:S10)</f>
        <v>921</v>
      </c>
      <c r="F134" s="710">
        <f>AVERAGE(Medicare!T10:W10)</f>
        <v>990.32499999999993</v>
      </c>
      <c r="G134" s="719">
        <f>AVERAGE(Medicare!X10:AA10)</f>
        <v>1060.45</v>
      </c>
    </row>
    <row r="135" spans="2:18" x14ac:dyDescent="0.35">
      <c r="B135" s="621" t="s">
        <v>530</v>
      </c>
      <c r="C135" s="713"/>
      <c r="D135" s="710">
        <f>AVERAGE(L39:O39)</f>
        <v>1585.7822500000004</v>
      </c>
      <c r="E135" s="710">
        <f>AVERAGE(P39:S39)</f>
        <v>1670.9233400000005</v>
      </c>
      <c r="F135" s="710">
        <f>AVERAGE(T39:W39)</f>
        <v>1795.6717597500008</v>
      </c>
      <c r="G135" s="719">
        <f>AVERAGE(X39:AA39)</f>
        <v>1881.1116315250006</v>
      </c>
    </row>
    <row r="136" spans="2:18" ht="27.65" customHeight="1" x14ac:dyDescent="0.35">
      <c r="B136" s="714" t="s">
        <v>809</v>
      </c>
      <c r="C136" s="558"/>
      <c r="D136" s="613"/>
      <c r="E136" s="717">
        <v>1.157</v>
      </c>
      <c r="F136" s="717">
        <v>1.0109999999999999</v>
      </c>
      <c r="G136" s="720">
        <v>1.0529999999999999</v>
      </c>
    </row>
    <row r="137" spans="2:18" x14ac:dyDescent="0.35">
      <c r="B137" s="245" t="s">
        <v>812</v>
      </c>
      <c r="D137" s="718">
        <f>D133-D130</f>
        <v>31.466999999999643</v>
      </c>
      <c r="E137" s="718">
        <f>E133-E130</f>
        <v>67.525000000000091</v>
      </c>
      <c r="F137" s="718">
        <f>F133-F130</f>
        <v>128.49624999999969</v>
      </c>
      <c r="G137" s="718">
        <f t="shared" ref="G137" si="41">G133-G130</f>
        <v>184.6016585250004</v>
      </c>
    </row>
    <row r="139" spans="2:18" x14ac:dyDescent="0.3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r:id="rId1"/>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56">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742" t="s">
        <v>123</v>
      </c>
      <c r="N22" s="510"/>
      <c r="O22" s="510"/>
      <c r="P22" s="510"/>
      <c r="Q22" s="510"/>
      <c r="R22" s="510"/>
      <c r="S22" s="510"/>
      <c r="T22" s="510"/>
      <c r="U22" s="510"/>
      <c r="V22" s="510"/>
      <c r="W22" s="741"/>
    </row>
    <row r="23" spans="13:27" x14ac:dyDescent="0.35">
      <c r="M23" s="743" t="s">
        <v>1872</v>
      </c>
      <c r="W23" s="235"/>
    </row>
    <row r="24" spans="13:27" x14ac:dyDescent="0.35">
      <c r="M24" s="743" t="s">
        <v>1871</v>
      </c>
      <c r="N24" s="119"/>
      <c r="O24" s="119"/>
      <c r="P24" s="119"/>
      <c r="Q24" s="119"/>
      <c r="R24" s="119"/>
      <c r="S24" s="119"/>
      <c r="T24" s="119"/>
      <c r="U24" s="119"/>
      <c r="V24" s="119"/>
      <c r="W24" s="744"/>
      <c r="X24" s="119"/>
      <c r="Y24" s="119"/>
    </row>
    <row r="25" spans="13:27" x14ac:dyDescent="0.35">
      <c r="M25" s="41" t="s">
        <v>203</v>
      </c>
      <c r="W25" s="235"/>
    </row>
    <row r="26" spans="13:27" x14ac:dyDescent="0.35">
      <c r="M26" s="41" t="s">
        <v>205</v>
      </c>
      <c r="W26" s="235"/>
    </row>
    <row r="27" spans="13:27" x14ac:dyDescent="0.35">
      <c r="M27" s="41" t="s">
        <v>56</v>
      </c>
      <c r="W27" s="235"/>
    </row>
    <row r="28" spans="13:27" x14ac:dyDescent="0.35">
      <c r="M28" s="41" t="s">
        <v>214</v>
      </c>
      <c r="W28" s="235"/>
    </row>
    <row r="29" spans="13:27" x14ac:dyDescent="0.35">
      <c r="M29" s="41" t="s">
        <v>1864</v>
      </c>
      <c r="W29" s="235"/>
    </row>
    <row r="30" spans="13:27" x14ac:dyDescent="0.35">
      <c r="M30" s="745" t="s">
        <v>1865</v>
      </c>
      <c r="N30" s="35"/>
      <c r="O30" s="35"/>
      <c r="P30" s="35"/>
      <c r="Q30" s="35"/>
      <c r="R30" s="35"/>
      <c r="S30" s="35"/>
      <c r="T30" s="35"/>
      <c r="U30" s="35"/>
      <c r="V30" s="35"/>
      <c r="W30" s="236"/>
      <c r="X30" t="s">
        <v>1866</v>
      </c>
    </row>
    <row r="31" spans="13:27" x14ac:dyDescent="0.35">
      <c r="M31" s="746" t="s">
        <v>1861</v>
      </c>
      <c r="N31" s="510"/>
      <c r="O31" s="510"/>
      <c r="P31" s="510"/>
      <c r="Q31" s="510"/>
      <c r="R31" s="510"/>
      <c r="S31" s="510"/>
      <c r="T31" s="510"/>
      <c r="U31" s="510"/>
      <c r="V31" s="510"/>
      <c r="W31" s="741"/>
    </row>
    <row r="32" spans="13:27" x14ac:dyDescent="0.35">
      <c r="M32" s="745" t="s">
        <v>218</v>
      </c>
      <c r="N32" s="35"/>
      <c r="O32" s="35"/>
      <c r="P32" s="35"/>
      <c r="Q32" s="35"/>
      <c r="R32" s="35"/>
      <c r="S32" s="35"/>
      <c r="T32" s="35"/>
      <c r="U32" s="35"/>
      <c r="V32" s="35"/>
      <c r="W32" s="236"/>
      <c r="X32" t="s">
        <v>1867</v>
      </c>
    </row>
    <row r="33" spans="13:24" x14ac:dyDescent="0.35">
      <c r="M33" s="746" t="s">
        <v>135</v>
      </c>
      <c r="N33" s="510"/>
      <c r="O33" s="510"/>
      <c r="P33" s="510"/>
      <c r="Q33" s="510"/>
      <c r="R33" s="510"/>
      <c r="S33" s="510"/>
      <c r="T33" s="510"/>
      <c r="U33" s="510"/>
      <c r="V33" s="510"/>
      <c r="W33" s="741"/>
    </row>
    <row r="34" spans="13:24" x14ac:dyDescent="0.35">
      <c r="M34" s="41" t="s">
        <v>136</v>
      </c>
      <c r="W34" s="235"/>
    </row>
    <row r="35" spans="13:24" x14ac:dyDescent="0.35">
      <c r="M35" s="41" t="s">
        <v>1868</v>
      </c>
      <c r="W35" s="235"/>
    </row>
    <row r="36" spans="13:24" x14ac:dyDescent="0.35">
      <c r="M36" s="41" t="s">
        <v>129</v>
      </c>
      <c r="W36" s="235"/>
    </row>
    <row r="37" spans="13:24" x14ac:dyDescent="0.35">
      <c r="M37" s="745" t="s">
        <v>1869</v>
      </c>
      <c r="N37" s="35"/>
      <c r="O37" s="35"/>
      <c r="P37" s="35"/>
      <c r="Q37" s="35"/>
      <c r="R37" s="35"/>
      <c r="S37" s="35"/>
      <c r="T37" s="35"/>
      <c r="U37" s="35"/>
      <c r="V37" s="35"/>
      <c r="W37" s="236"/>
      <c r="X37" t="s">
        <v>1870</v>
      </c>
    </row>
  </sheetData>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253" t="s">
        <v>315</v>
      </c>
      <c r="I1" s="1253"/>
      <c r="J1" s="1253"/>
      <c r="K1" s="1253"/>
      <c r="L1" s="1253"/>
      <c r="M1" s="1253"/>
      <c r="N1" s="1253"/>
      <c r="O1" s="1253"/>
      <c r="P1" s="1253"/>
      <c r="Q1" s="1253"/>
      <c r="R1" s="1253"/>
      <c r="S1" s="1253"/>
    </row>
    <row r="2" spans="8:22" x14ac:dyDescent="0.35">
      <c r="H2" s="1363" t="s">
        <v>316</v>
      </c>
      <c r="I2" s="1363"/>
      <c r="J2" s="1363"/>
      <c r="K2" s="1363"/>
      <c r="L2" s="1363"/>
      <c r="M2" s="1363"/>
      <c r="N2" s="1363"/>
      <c r="O2" s="1363"/>
      <c r="P2" s="1363"/>
      <c r="Q2" s="1363"/>
      <c r="R2" s="1363"/>
      <c r="S2" s="1363"/>
    </row>
    <row r="3" spans="8:22" x14ac:dyDescent="0.35">
      <c r="H3" s="1363"/>
      <c r="I3" s="1363"/>
      <c r="J3" s="1363"/>
      <c r="K3" s="1363"/>
      <c r="L3" s="1363"/>
      <c r="M3" s="1363"/>
      <c r="N3" s="1363"/>
      <c r="O3" s="1363"/>
      <c r="P3" s="1363"/>
      <c r="Q3" s="1363"/>
      <c r="R3" s="1363"/>
      <c r="S3" s="1363"/>
    </row>
    <row r="4" spans="8:22" x14ac:dyDescent="0.35">
      <c r="H4" s="1363"/>
      <c r="I4" s="1363"/>
      <c r="J4" s="1363"/>
      <c r="K4" s="1363"/>
      <c r="L4" s="1363"/>
      <c r="M4" s="1363"/>
      <c r="N4" s="1363"/>
      <c r="O4" s="1363"/>
      <c r="P4" s="1363"/>
      <c r="Q4" s="1363"/>
      <c r="R4" s="1363"/>
      <c r="S4" s="1363"/>
    </row>
    <row r="5" spans="8:22" ht="54.75" customHeight="1" x14ac:dyDescent="0.35">
      <c r="H5" s="1363"/>
      <c r="I5" s="1363"/>
      <c r="J5" s="1363"/>
      <c r="K5" s="1363"/>
      <c r="L5" s="1363"/>
      <c r="M5" s="1363"/>
      <c r="N5" s="1363"/>
      <c r="O5" s="1363"/>
      <c r="P5" s="1363"/>
      <c r="Q5" s="1363"/>
      <c r="R5" s="1363"/>
      <c r="S5" s="1363"/>
    </row>
    <row r="6" spans="8:22" x14ac:dyDescent="0.35">
      <c r="H6" s="230"/>
      <c r="I6" s="230"/>
      <c r="J6" s="230"/>
      <c r="K6" s="230"/>
      <c r="L6" s="230"/>
      <c r="M6" s="230"/>
      <c r="N6" s="230"/>
      <c r="O6" s="230"/>
      <c r="P6" s="230"/>
      <c r="Q6" s="230"/>
      <c r="R6" s="230"/>
      <c r="S6" s="230"/>
    </row>
    <row r="7" spans="8:22" x14ac:dyDescent="0.35">
      <c r="H7" s="978" t="s">
        <v>317</v>
      </c>
    </row>
    <row r="8" spans="8:22" ht="16.399999999999999" customHeight="1" x14ac:dyDescent="0.35"/>
    <row r="9" spans="8:22" ht="15.75" customHeight="1" x14ac:dyDescent="0.35">
      <c r="L9" s="1264">
        <v>2020</v>
      </c>
      <c r="M9" s="1359"/>
      <c r="N9" s="1359"/>
      <c r="O9" s="439">
        <v>2021</v>
      </c>
      <c r="P9" s="439"/>
      <c r="Q9" s="439"/>
      <c r="R9" s="969"/>
    </row>
    <row r="10" spans="8:22" ht="41.9" customHeight="1" x14ac:dyDescent="0.35">
      <c r="H10" s="973" t="s">
        <v>318</v>
      </c>
      <c r="I10" s="973" t="s">
        <v>319</v>
      </c>
      <c r="J10" s="974" t="s">
        <v>320</v>
      </c>
      <c r="K10" s="241"/>
      <c r="L10" s="983" t="s">
        <v>283</v>
      </c>
      <c r="M10" s="984" t="s">
        <v>238</v>
      </c>
      <c r="N10" s="984" t="s">
        <v>281</v>
      </c>
      <c r="O10" s="984" t="s">
        <v>282</v>
      </c>
      <c r="P10" s="984" t="s">
        <v>283</v>
      </c>
      <c r="Q10" s="984" t="s">
        <v>238</v>
      </c>
      <c r="R10" s="972" t="s">
        <v>281</v>
      </c>
      <c r="S10" s="230" t="s">
        <v>321</v>
      </c>
      <c r="T10" s="241"/>
      <c r="U10" s="241"/>
      <c r="V10" s="241"/>
    </row>
    <row r="11" spans="8:22" x14ac:dyDescent="0.35">
      <c r="H11" s="975">
        <v>43934</v>
      </c>
      <c r="I11" s="229">
        <v>248</v>
      </c>
      <c r="J11" s="557">
        <f>I11</f>
        <v>248</v>
      </c>
      <c r="K11" s="229"/>
      <c r="L11" s="966">
        <f>S11/26*J11</f>
        <v>95.384615384615387</v>
      </c>
      <c r="M11" s="622">
        <f>13/26*J11</f>
        <v>124</v>
      </c>
      <c r="N11" s="622">
        <f>J11-SUM(L11:M11)</f>
        <v>28.615384615384613</v>
      </c>
      <c r="O11" s="622"/>
      <c r="P11" s="622"/>
      <c r="Q11" s="622"/>
      <c r="R11" s="597"/>
      <c r="S11" s="229">
        <v>10</v>
      </c>
      <c r="T11" s="229"/>
      <c r="U11" s="980"/>
      <c r="V11" s="229"/>
    </row>
    <row r="12" spans="8:22" x14ac:dyDescent="0.35">
      <c r="H12" s="981">
        <v>43937</v>
      </c>
      <c r="I12" s="229">
        <v>342</v>
      </c>
      <c r="J12" s="557">
        <f>I12-I11</f>
        <v>94</v>
      </c>
      <c r="K12" s="229"/>
      <c r="L12" s="966">
        <f t="shared" ref="L12:L20" si="0">S12/26*J12</f>
        <v>36.153846153846153</v>
      </c>
      <c r="M12" s="622">
        <f t="shared" ref="M12:M20" si="1">13/26*J12</f>
        <v>47</v>
      </c>
      <c r="N12" s="622">
        <f t="shared" ref="N12:N21" si="2">J12-SUM(L12:M12)</f>
        <v>10.84615384615384</v>
      </c>
      <c r="O12" s="622"/>
      <c r="P12" s="622"/>
      <c r="Q12" s="622"/>
      <c r="R12" s="597"/>
      <c r="S12" s="229">
        <v>10</v>
      </c>
      <c r="T12" s="229"/>
      <c r="U12" s="229"/>
      <c r="V12" s="229"/>
    </row>
    <row r="13" spans="8:22" x14ac:dyDescent="0.35">
      <c r="H13" s="981">
        <v>43952</v>
      </c>
      <c r="I13" s="229">
        <v>518</v>
      </c>
      <c r="J13" s="557">
        <f>I13-I12</f>
        <v>176</v>
      </c>
      <c r="K13" s="229"/>
      <c r="L13" s="966">
        <f t="shared" si="0"/>
        <v>54.15384615384616</v>
      </c>
      <c r="M13" s="622">
        <f t="shared" si="1"/>
        <v>88</v>
      </c>
      <c r="N13" s="622">
        <f t="shared" si="2"/>
        <v>33.84615384615384</v>
      </c>
      <c r="O13" s="622"/>
      <c r="P13" s="622"/>
      <c r="Q13" s="622"/>
      <c r="R13" s="597"/>
      <c r="S13" s="229">
        <v>8</v>
      </c>
      <c r="T13" s="229"/>
      <c r="U13" s="229"/>
      <c r="V13" s="229"/>
    </row>
    <row r="14" spans="8:22" x14ac:dyDescent="0.35">
      <c r="H14" s="981">
        <v>43959</v>
      </c>
      <c r="I14" s="229">
        <v>531</v>
      </c>
      <c r="J14" s="557">
        <f t="shared" ref="J14:J45" si="3">I14-I13</f>
        <v>13</v>
      </c>
      <c r="K14" s="229"/>
      <c r="L14" s="966">
        <f t="shared" si="0"/>
        <v>3.5</v>
      </c>
      <c r="M14" s="622">
        <f t="shared" si="1"/>
        <v>6.5</v>
      </c>
      <c r="N14" s="622">
        <f t="shared" si="2"/>
        <v>3</v>
      </c>
      <c r="O14" s="622"/>
      <c r="P14" s="622"/>
      <c r="Q14" s="622"/>
      <c r="R14" s="597"/>
      <c r="S14" s="229">
        <f t="shared" ref="S14:S20" si="4">S13-1</f>
        <v>7</v>
      </c>
      <c r="T14" s="229"/>
      <c r="U14" s="229"/>
      <c r="V14" s="229"/>
    </row>
    <row r="15" spans="8:22" x14ac:dyDescent="0.35">
      <c r="H15" s="981">
        <v>43967</v>
      </c>
      <c r="I15" s="229">
        <v>513</v>
      </c>
      <c r="J15" s="557">
        <f t="shared" si="3"/>
        <v>-18</v>
      </c>
      <c r="K15" s="229"/>
      <c r="L15" s="966">
        <f t="shared" ref="L15:L17" si="5">S15/26*J15</f>
        <v>-4.1538461538461542</v>
      </c>
      <c r="M15" s="622">
        <f t="shared" ref="M15:M17" si="6">13/26*J15</f>
        <v>-9</v>
      </c>
      <c r="N15" s="622">
        <f t="shared" ref="N15:N17" si="7">J15-SUM(L15:M15)</f>
        <v>-4.8461538461538467</v>
      </c>
      <c r="O15" s="622"/>
      <c r="P15" s="622"/>
      <c r="Q15" s="622"/>
      <c r="R15" s="597"/>
      <c r="S15" s="229">
        <f t="shared" si="4"/>
        <v>6</v>
      </c>
      <c r="T15" s="229"/>
      <c r="U15" s="229"/>
      <c r="V15" s="229"/>
    </row>
    <row r="16" spans="8:22" x14ac:dyDescent="0.35">
      <c r="H16" s="981">
        <v>43974</v>
      </c>
      <c r="I16" s="229">
        <v>511</v>
      </c>
      <c r="J16" s="557">
        <f t="shared" si="3"/>
        <v>-2</v>
      </c>
      <c r="K16" s="229"/>
      <c r="L16" s="966">
        <f t="shared" si="5"/>
        <v>-0.38461538461538464</v>
      </c>
      <c r="M16" s="622">
        <f t="shared" si="6"/>
        <v>-1</v>
      </c>
      <c r="N16" s="622">
        <f t="shared" si="7"/>
        <v>-0.61538461538461542</v>
      </c>
      <c r="O16" s="622"/>
      <c r="P16" s="622"/>
      <c r="Q16" s="622"/>
      <c r="R16" s="597"/>
      <c r="S16" s="229">
        <f t="shared" si="4"/>
        <v>5</v>
      </c>
      <c r="T16" s="229"/>
      <c r="U16" s="229"/>
      <c r="V16" s="229"/>
    </row>
    <row r="17" spans="8:22" x14ac:dyDescent="0.35">
      <c r="H17" s="981">
        <v>43981</v>
      </c>
      <c r="I17" s="229">
        <v>510</v>
      </c>
      <c r="J17" s="557">
        <f t="shared" si="3"/>
        <v>-1</v>
      </c>
      <c r="K17" s="229"/>
      <c r="L17" s="966">
        <f t="shared" si="5"/>
        <v>-0.15384615384615385</v>
      </c>
      <c r="M17" s="622">
        <f t="shared" si="6"/>
        <v>-0.5</v>
      </c>
      <c r="N17" s="622">
        <f t="shared" si="7"/>
        <v>-0.34615384615384615</v>
      </c>
      <c r="O17" s="622"/>
      <c r="P17" s="622"/>
      <c r="Q17" s="622"/>
      <c r="R17" s="597"/>
      <c r="S17" s="229">
        <f t="shared" si="4"/>
        <v>4</v>
      </c>
      <c r="T17" s="229"/>
      <c r="U17" s="229"/>
      <c r="V17" s="229"/>
    </row>
    <row r="18" spans="8:22" x14ac:dyDescent="0.35">
      <c r="H18" s="981">
        <v>43988</v>
      </c>
      <c r="I18" s="229">
        <v>511</v>
      </c>
      <c r="J18" s="557">
        <f t="shared" si="3"/>
        <v>1</v>
      </c>
      <c r="K18" s="229"/>
      <c r="L18" s="966">
        <f t="shared" si="0"/>
        <v>0.11538461538461539</v>
      </c>
      <c r="M18" s="622">
        <f t="shared" si="1"/>
        <v>0.5</v>
      </c>
      <c r="N18" s="622">
        <f t="shared" si="2"/>
        <v>0.38461538461538458</v>
      </c>
      <c r="O18" s="622"/>
      <c r="P18" s="622"/>
      <c r="Q18" s="622"/>
      <c r="R18" s="597"/>
      <c r="S18" s="229">
        <f t="shared" si="4"/>
        <v>3</v>
      </c>
      <c r="T18" s="229"/>
      <c r="U18" s="229"/>
      <c r="V18" s="229"/>
    </row>
    <row r="19" spans="8:22" x14ac:dyDescent="0.35">
      <c r="H19" s="981">
        <v>43994</v>
      </c>
      <c r="I19" s="229">
        <v>512</v>
      </c>
      <c r="J19" s="557">
        <f t="shared" si="3"/>
        <v>1</v>
      </c>
      <c r="K19" s="229"/>
      <c r="L19" s="966">
        <f t="shared" si="0"/>
        <v>7.6923076923076927E-2</v>
      </c>
      <c r="M19" s="622">
        <f t="shared" si="1"/>
        <v>0.5</v>
      </c>
      <c r="N19" s="622">
        <f t="shared" si="2"/>
        <v>0.42307692307692313</v>
      </c>
      <c r="O19" s="622"/>
      <c r="P19" s="622"/>
      <c r="Q19" s="622"/>
      <c r="R19" s="597"/>
      <c r="S19" s="229">
        <f t="shared" si="4"/>
        <v>2</v>
      </c>
      <c r="T19" s="229"/>
      <c r="U19" s="229"/>
      <c r="V19" s="229"/>
    </row>
    <row r="20" spans="8:22" x14ac:dyDescent="0.35">
      <c r="H20" s="981">
        <v>44002</v>
      </c>
      <c r="I20" s="229">
        <v>515</v>
      </c>
      <c r="J20" s="557">
        <f t="shared" si="3"/>
        <v>3</v>
      </c>
      <c r="K20" s="229"/>
      <c r="L20" s="966">
        <f t="shared" si="0"/>
        <v>0.11538461538461539</v>
      </c>
      <c r="M20" s="622">
        <f t="shared" si="1"/>
        <v>1.5</v>
      </c>
      <c r="N20" s="622">
        <f t="shared" si="2"/>
        <v>1.3846153846153846</v>
      </c>
      <c r="O20" s="622"/>
      <c r="P20" s="622"/>
      <c r="Q20" s="622"/>
      <c r="R20" s="597"/>
      <c r="S20" s="229">
        <f t="shared" si="4"/>
        <v>1</v>
      </c>
      <c r="T20" s="229"/>
      <c r="U20" s="229"/>
      <c r="V20" s="229"/>
    </row>
    <row r="21" spans="8:22" x14ac:dyDescent="0.35">
      <c r="H21" s="981">
        <v>44009</v>
      </c>
      <c r="I21" s="229">
        <v>519</v>
      </c>
      <c r="J21" s="557">
        <f t="shared" si="3"/>
        <v>4</v>
      </c>
      <c r="K21" s="229"/>
      <c r="L21" s="966"/>
      <c r="M21" s="622">
        <f>S21/26*J21</f>
        <v>2</v>
      </c>
      <c r="N21" s="622">
        <f t="shared" si="2"/>
        <v>2</v>
      </c>
      <c r="O21" s="622"/>
      <c r="P21" s="622"/>
      <c r="Q21" s="622"/>
      <c r="R21" s="597"/>
      <c r="S21" s="229">
        <v>13</v>
      </c>
      <c r="T21" s="229"/>
      <c r="U21" s="229"/>
      <c r="V21" s="229"/>
    </row>
    <row r="22" spans="8:22" x14ac:dyDescent="0.35">
      <c r="H22" s="981">
        <v>44012</v>
      </c>
      <c r="I22" s="229">
        <v>521</v>
      </c>
      <c r="J22" s="557">
        <f t="shared" si="3"/>
        <v>2</v>
      </c>
      <c r="K22" s="229"/>
      <c r="L22" s="966"/>
      <c r="M22" s="622">
        <f t="shared" ref="M22:M26" si="8">S22/26*J22</f>
        <v>1</v>
      </c>
      <c r="N22" s="622">
        <f>J22-SUM(L22:M22)</f>
        <v>1</v>
      </c>
      <c r="O22" s="622"/>
      <c r="P22" s="622"/>
      <c r="Q22" s="622"/>
      <c r="R22" s="597"/>
      <c r="S22" s="229">
        <v>13</v>
      </c>
      <c r="T22" s="229"/>
      <c r="U22" s="229"/>
      <c r="V22" s="229"/>
    </row>
    <row r="23" spans="8:22" x14ac:dyDescent="0.35">
      <c r="H23" s="981">
        <v>44029</v>
      </c>
      <c r="I23" s="229">
        <v>518</v>
      </c>
      <c r="J23" s="557">
        <f t="shared" si="3"/>
        <v>-3</v>
      </c>
      <c r="K23" s="229"/>
      <c r="L23" s="966"/>
      <c r="M23" s="622">
        <f t="shared" ref="M23" si="9">S23/26*J23</f>
        <v>-1.153846153846154</v>
      </c>
      <c r="N23" s="622">
        <f t="shared" ref="N23" si="10">13/26*J23</f>
        <v>-1.5</v>
      </c>
      <c r="O23" s="622">
        <f t="shared" ref="O23" si="11">J23-N23-M23</f>
        <v>-0.34615384615384603</v>
      </c>
      <c r="P23" s="622"/>
      <c r="Q23" s="622"/>
      <c r="R23" s="597"/>
      <c r="S23" s="229">
        <f>S22-3</f>
        <v>10</v>
      </c>
      <c r="T23" s="229"/>
      <c r="U23" s="229"/>
      <c r="V23" s="229"/>
    </row>
    <row r="24" spans="8:22" x14ac:dyDescent="0.35">
      <c r="H24" s="981">
        <v>44036</v>
      </c>
      <c r="I24" s="229">
        <v>520</v>
      </c>
      <c r="J24" s="557">
        <f t="shared" si="3"/>
        <v>2</v>
      </c>
      <c r="K24" s="229"/>
      <c r="L24" s="966"/>
      <c r="M24" s="622">
        <f t="shared" si="8"/>
        <v>0.69230769230769229</v>
      </c>
      <c r="N24" s="622">
        <f t="shared" ref="N24:N26" si="12">13/26*J24</f>
        <v>1</v>
      </c>
      <c r="O24" s="622">
        <f t="shared" ref="O24:O26" si="13">J24-N24-M24</f>
        <v>0.30769230769230771</v>
      </c>
      <c r="P24" s="622"/>
      <c r="Q24" s="622"/>
      <c r="R24" s="597"/>
      <c r="S24" s="229">
        <f>S23-1</f>
        <v>9</v>
      </c>
      <c r="T24" s="229"/>
      <c r="U24" s="229"/>
      <c r="V24" s="229"/>
    </row>
    <row r="25" spans="8:22" x14ac:dyDescent="0.35">
      <c r="H25" s="981">
        <v>44043</v>
      </c>
      <c r="I25" s="229">
        <v>521</v>
      </c>
      <c r="J25" s="557">
        <f t="shared" si="3"/>
        <v>1</v>
      </c>
      <c r="K25" s="229"/>
      <c r="L25" s="966"/>
      <c r="M25" s="622">
        <f t="shared" si="8"/>
        <v>0.30769230769230771</v>
      </c>
      <c r="N25" s="622">
        <f t="shared" si="12"/>
        <v>0.5</v>
      </c>
      <c r="O25" s="622">
        <f t="shared" si="13"/>
        <v>0.19230769230769229</v>
      </c>
      <c r="P25" s="622"/>
      <c r="Q25" s="622"/>
      <c r="R25" s="597"/>
      <c r="S25" s="229">
        <f>S24-1</f>
        <v>8</v>
      </c>
      <c r="T25" s="229"/>
      <c r="U25" s="229"/>
      <c r="V25" s="229"/>
    </row>
    <row r="26" spans="8:22" x14ac:dyDescent="0.35">
      <c r="H26" s="981">
        <v>44051</v>
      </c>
      <c r="I26" s="229">
        <v>525</v>
      </c>
      <c r="J26" s="557">
        <f t="shared" si="3"/>
        <v>4</v>
      </c>
      <c r="K26" s="229"/>
      <c r="L26" s="966"/>
      <c r="M26" s="622">
        <f t="shared" si="8"/>
        <v>1.0769230769230769</v>
      </c>
      <c r="N26" s="622">
        <f t="shared" si="12"/>
        <v>2</v>
      </c>
      <c r="O26" s="622">
        <f t="shared" si="13"/>
        <v>0.92307692307692313</v>
      </c>
      <c r="P26" s="622"/>
      <c r="Q26" s="622"/>
      <c r="R26" s="597"/>
      <c r="S26" s="229">
        <f>S25-1</f>
        <v>7</v>
      </c>
      <c r="T26" s="229"/>
      <c r="U26" s="229"/>
      <c r="V26" s="229"/>
    </row>
    <row r="27" spans="8:22" x14ac:dyDescent="0.35">
      <c r="H27" s="981">
        <v>44220</v>
      </c>
      <c r="I27" s="229">
        <v>558</v>
      </c>
      <c r="J27" s="557">
        <f t="shared" si="3"/>
        <v>33</v>
      </c>
      <c r="K27" s="229"/>
      <c r="L27" s="966"/>
      <c r="M27" s="622"/>
      <c r="N27" s="622"/>
      <c r="O27" s="622">
        <f>S27/26*J27</f>
        <v>12.692307692307693</v>
      </c>
      <c r="P27" s="622">
        <f>J27/2</f>
        <v>16.5</v>
      </c>
      <c r="Q27" s="622">
        <f>J27-P27-O27</f>
        <v>3.8076923076923066</v>
      </c>
      <c r="R27" s="597"/>
      <c r="S27" s="229">
        <v>10</v>
      </c>
      <c r="T27" s="229">
        <v>10</v>
      </c>
      <c r="U27" s="229"/>
      <c r="V27" s="229"/>
    </row>
    <row r="28" spans="8:22" x14ac:dyDescent="0.35">
      <c r="H28" s="981">
        <v>44227</v>
      </c>
      <c r="I28" s="229">
        <v>596</v>
      </c>
      <c r="J28" s="557">
        <f t="shared" si="3"/>
        <v>38</v>
      </c>
      <c r="K28" s="229"/>
      <c r="L28" s="966"/>
      <c r="M28" s="622"/>
      <c r="N28" s="622"/>
      <c r="O28" s="622">
        <f t="shared" ref="O28:O36" si="14">S28/26*J28</f>
        <v>13.153846153846153</v>
      </c>
      <c r="P28" s="622">
        <f t="shared" ref="P28:P36" si="15">J28/2</f>
        <v>19</v>
      </c>
      <c r="Q28" s="622">
        <f t="shared" ref="Q28:Q36" si="16">J28-P28-O28</f>
        <v>5.8461538461538467</v>
      </c>
      <c r="R28" s="597"/>
      <c r="S28" s="229">
        <f>S27-1</f>
        <v>9</v>
      </c>
      <c r="T28" s="229">
        <f>T27-1</f>
        <v>9</v>
      </c>
      <c r="U28" s="229"/>
      <c r="V28" s="229"/>
    </row>
    <row r="29" spans="8:22" x14ac:dyDescent="0.35">
      <c r="H29" s="981">
        <v>44234</v>
      </c>
      <c r="I29" s="229">
        <v>623</v>
      </c>
      <c r="J29" s="557">
        <f t="shared" si="3"/>
        <v>27</v>
      </c>
      <c r="K29" s="229"/>
      <c r="L29" s="966"/>
      <c r="M29" s="622"/>
      <c r="N29" s="622"/>
      <c r="O29" s="622">
        <f t="shared" si="14"/>
        <v>8.3076923076923084</v>
      </c>
      <c r="P29" s="622">
        <f t="shared" si="15"/>
        <v>13.5</v>
      </c>
      <c r="Q29" s="622">
        <f t="shared" si="16"/>
        <v>5.1923076923076916</v>
      </c>
      <c r="R29" s="597"/>
      <c r="S29" s="229">
        <f t="shared" ref="S29:S36" si="17">S28-1</f>
        <v>8</v>
      </c>
      <c r="T29" s="229">
        <f t="shared" ref="T29:T36" si="18">T28-1</f>
        <v>8</v>
      </c>
      <c r="U29" s="229"/>
      <c r="V29" s="229"/>
    </row>
    <row r="30" spans="8:22" x14ac:dyDescent="0.35">
      <c r="H30" s="981">
        <v>44242</v>
      </c>
      <c r="I30" s="229">
        <v>648</v>
      </c>
      <c r="J30" s="557">
        <f t="shared" si="3"/>
        <v>25</v>
      </c>
      <c r="K30" s="229"/>
      <c r="L30" s="966"/>
      <c r="M30" s="622"/>
      <c r="N30" s="622"/>
      <c r="O30" s="622">
        <f t="shared" si="14"/>
        <v>6.7307692307692308</v>
      </c>
      <c r="P30" s="622">
        <f t="shared" si="15"/>
        <v>12.5</v>
      </c>
      <c r="Q30" s="622">
        <f t="shared" si="16"/>
        <v>5.7692307692307692</v>
      </c>
      <c r="R30" s="597"/>
      <c r="S30" s="229">
        <f t="shared" si="17"/>
        <v>7</v>
      </c>
      <c r="T30" s="229">
        <f t="shared" si="18"/>
        <v>7</v>
      </c>
      <c r="U30" s="229"/>
      <c r="V30" s="229"/>
    </row>
    <row r="31" spans="8:22" x14ac:dyDescent="0.35">
      <c r="H31" s="981">
        <v>44248</v>
      </c>
      <c r="I31" s="229">
        <v>663</v>
      </c>
      <c r="J31" s="557">
        <f t="shared" si="3"/>
        <v>15</v>
      </c>
      <c r="K31" s="229"/>
      <c r="L31" s="966"/>
      <c r="M31" s="622"/>
      <c r="N31" s="622"/>
      <c r="O31" s="622">
        <f t="shared" si="14"/>
        <v>3.4615384615384617</v>
      </c>
      <c r="P31" s="622">
        <f t="shared" si="15"/>
        <v>7.5</v>
      </c>
      <c r="Q31" s="622">
        <f t="shared" si="16"/>
        <v>4.0384615384615383</v>
      </c>
      <c r="R31" s="597"/>
      <c r="S31" s="229">
        <f t="shared" si="17"/>
        <v>6</v>
      </c>
      <c r="T31" s="229">
        <f t="shared" si="18"/>
        <v>6</v>
      </c>
      <c r="U31" s="229"/>
      <c r="V31" s="229"/>
    </row>
    <row r="32" spans="8:22" x14ac:dyDescent="0.35">
      <c r="H32" s="981">
        <v>44255</v>
      </c>
      <c r="I32" s="229">
        <v>679</v>
      </c>
      <c r="J32" s="557">
        <f t="shared" si="3"/>
        <v>16</v>
      </c>
      <c r="K32" s="229"/>
      <c r="L32" s="966"/>
      <c r="M32" s="622"/>
      <c r="N32" s="622"/>
      <c r="O32" s="622">
        <f t="shared" si="14"/>
        <v>3.0769230769230771</v>
      </c>
      <c r="P32" s="622">
        <f t="shared" si="15"/>
        <v>8</v>
      </c>
      <c r="Q32" s="622">
        <f t="shared" si="16"/>
        <v>4.9230769230769234</v>
      </c>
      <c r="R32" s="597"/>
      <c r="S32" s="229">
        <f t="shared" si="17"/>
        <v>5</v>
      </c>
      <c r="T32" s="229">
        <f t="shared" si="18"/>
        <v>5</v>
      </c>
      <c r="U32" s="229"/>
      <c r="V32" s="229"/>
    </row>
    <row r="33" spans="8:22" x14ac:dyDescent="0.35">
      <c r="H33" s="981">
        <v>44262</v>
      </c>
      <c r="I33" s="229">
        <v>687</v>
      </c>
      <c r="J33" s="557">
        <f t="shared" si="3"/>
        <v>8</v>
      </c>
      <c r="K33" s="229"/>
      <c r="L33" s="966"/>
      <c r="M33" s="622"/>
      <c r="N33" s="622"/>
      <c r="O33" s="622">
        <f t="shared" si="14"/>
        <v>1.2307692307692308</v>
      </c>
      <c r="P33" s="622">
        <f t="shared" si="15"/>
        <v>4</v>
      </c>
      <c r="Q33" s="622">
        <f t="shared" si="16"/>
        <v>2.7692307692307692</v>
      </c>
      <c r="R33" s="597"/>
      <c r="S33" s="229">
        <f t="shared" si="17"/>
        <v>4</v>
      </c>
      <c r="T33" s="229">
        <f t="shared" si="18"/>
        <v>4</v>
      </c>
      <c r="U33" s="229"/>
      <c r="V33" s="229"/>
    </row>
    <row r="34" spans="8:22" x14ac:dyDescent="0.35">
      <c r="H34" s="981">
        <v>44269</v>
      </c>
      <c r="I34" s="229">
        <v>704</v>
      </c>
      <c r="J34" s="557">
        <f t="shared" si="3"/>
        <v>17</v>
      </c>
      <c r="K34" s="229"/>
      <c r="L34" s="966"/>
      <c r="M34" s="622"/>
      <c r="N34" s="622"/>
      <c r="O34" s="622">
        <f t="shared" si="14"/>
        <v>1.9615384615384617</v>
      </c>
      <c r="P34" s="622">
        <f t="shared" si="15"/>
        <v>8.5</v>
      </c>
      <c r="Q34" s="622">
        <f t="shared" si="16"/>
        <v>6.5384615384615383</v>
      </c>
      <c r="R34" s="597"/>
      <c r="S34" s="229">
        <f t="shared" si="17"/>
        <v>3</v>
      </c>
      <c r="T34" s="229">
        <f t="shared" si="18"/>
        <v>3</v>
      </c>
      <c r="U34" s="229"/>
      <c r="V34" s="229"/>
    </row>
    <row r="35" spans="8:22" x14ac:dyDescent="0.35">
      <c r="H35" s="981">
        <v>44276</v>
      </c>
      <c r="I35" s="229">
        <v>718</v>
      </c>
      <c r="J35" s="557">
        <f t="shared" si="3"/>
        <v>14</v>
      </c>
      <c r="K35" s="229"/>
      <c r="L35" s="966"/>
      <c r="M35" s="622"/>
      <c r="N35" s="622"/>
      <c r="O35" s="622">
        <f t="shared" si="14"/>
        <v>1.0769230769230771</v>
      </c>
      <c r="P35" s="622">
        <f t="shared" si="15"/>
        <v>7</v>
      </c>
      <c r="Q35" s="622">
        <f t="shared" si="16"/>
        <v>5.9230769230769234</v>
      </c>
      <c r="R35" s="597"/>
      <c r="S35" s="229">
        <f t="shared" si="17"/>
        <v>2</v>
      </c>
      <c r="T35" s="229">
        <f t="shared" si="18"/>
        <v>2</v>
      </c>
      <c r="U35" s="229"/>
      <c r="V35" s="229"/>
    </row>
    <row r="36" spans="8:22" x14ac:dyDescent="0.35">
      <c r="H36" s="981">
        <v>44283</v>
      </c>
      <c r="I36" s="229">
        <v>734</v>
      </c>
      <c r="J36" s="557">
        <f t="shared" si="3"/>
        <v>16</v>
      </c>
      <c r="K36" s="229"/>
      <c r="L36" s="966"/>
      <c r="M36" s="622"/>
      <c r="N36" s="622"/>
      <c r="O36" s="622">
        <f t="shared" si="14"/>
        <v>0.61538461538461542</v>
      </c>
      <c r="P36" s="622">
        <f t="shared" si="15"/>
        <v>8</v>
      </c>
      <c r="Q36" s="622">
        <f t="shared" si="16"/>
        <v>7.384615384615385</v>
      </c>
      <c r="R36" s="597"/>
      <c r="S36" s="229">
        <f t="shared" si="17"/>
        <v>1</v>
      </c>
      <c r="T36" s="229">
        <f t="shared" si="18"/>
        <v>1</v>
      </c>
      <c r="U36" s="229"/>
      <c r="V36" s="229"/>
    </row>
    <row r="37" spans="8:22" x14ac:dyDescent="0.35">
      <c r="H37" s="981">
        <v>44290</v>
      </c>
      <c r="I37" s="229">
        <v>746</v>
      </c>
      <c r="J37" s="557">
        <f t="shared" si="3"/>
        <v>12</v>
      </c>
      <c r="K37" s="229"/>
      <c r="L37" s="966"/>
      <c r="M37" s="622"/>
      <c r="N37" s="622"/>
      <c r="O37" s="622"/>
      <c r="P37" s="622">
        <f>T37/26*J37</f>
        <v>6</v>
      </c>
      <c r="Q37" s="622">
        <f>J37/2</f>
        <v>6</v>
      </c>
      <c r="R37" s="597">
        <f>J37-Q37-P37</f>
        <v>0</v>
      </c>
      <c r="S37" s="229">
        <v>13</v>
      </c>
      <c r="T37" s="229">
        <v>13</v>
      </c>
      <c r="U37" s="229"/>
      <c r="V37" s="229"/>
    </row>
    <row r="38" spans="8:22" x14ac:dyDescent="0.35">
      <c r="H38" s="981">
        <v>44297</v>
      </c>
      <c r="I38" s="229">
        <v>755</v>
      </c>
      <c r="J38" s="557">
        <f t="shared" si="3"/>
        <v>9</v>
      </c>
      <c r="K38" s="229"/>
      <c r="L38" s="966"/>
      <c r="M38" s="622"/>
      <c r="N38" s="622"/>
      <c r="O38" s="622"/>
      <c r="P38" s="622">
        <f t="shared" ref="P38:P45" si="19">T38/26*J38</f>
        <v>4.1538461538461542</v>
      </c>
      <c r="Q38" s="622">
        <f t="shared" ref="Q38:Q45" si="20">J38/2</f>
        <v>4.5</v>
      </c>
      <c r="R38" s="597">
        <f t="shared" ref="R38:R45" si="21">J38-Q38-P38</f>
        <v>0.34615384615384581</v>
      </c>
      <c r="S38" s="229">
        <f>S37-1</f>
        <v>12</v>
      </c>
      <c r="T38" s="229">
        <f>T37-1</f>
        <v>12</v>
      </c>
      <c r="U38" s="229"/>
      <c r="V38" s="229"/>
    </row>
    <row r="39" spans="8:22" x14ac:dyDescent="0.35">
      <c r="H39" s="981">
        <v>44304</v>
      </c>
      <c r="I39" s="229">
        <v>762</v>
      </c>
      <c r="J39" s="557">
        <f t="shared" si="3"/>
        <v>7</v>
      </c>
      <c r="K39" s="229"/>
      <c r="L39" s="966"/>
      <c r="M39" s="622"/>
      <c r="N39" s="622"/>
      <c r="O39" s="622"/>
      <c r="P39" s="622">
        <f t="shared" si="19"/>
        <v>2.9615384615384617</v>
      </c>
      <c r="Q39" s="622">
        <f t="shared" si="20"/>
        <v>3.5</v>
      </c>
      <c r="R39" s="597">
        <f t="shared" si="21"/>
        <v>0.53846153846153832</v>
      </c>
      <c r="S39" s="229">
        <f t="shared" ref="S39:S45" si="22">S38-1</f>
        <v>11</v>
      </c>
      <c r="T39" s="229">
        <f t="shared" ref="T39:T45" si="23">T38-1</f>
        <v>11</v>
      </c>
      <c r="U39" s="229"/>
      <c r="V39" s="229"/>
    </row>
    <row r="40" spans="8:22" x14ac:dyDescent="0.35">
      <c r="H40" s="981">
        <v>44311</v>
      </c>
      <c r="I40" s="229">
        <v>771</v>
      </c>
      <c r="J40" s="557">
        <f t="shared" si="3"/>
        <v>9</v>
      </c>
      <c r="K40" s="229"/>
      <c r="L40" s="966"/>
      <c r="M40" s="622"/>
      <c r="N40" s="622"/>
      <c r="O40" s="622"/>
      <c r="P40" s="622">
        <f t="shared" si="19"/>
        <v>3.4615384615384617</v>
      </c>
      <c r="Q40" s="622">
        <f t="shared" si="20"/>
        <v>4.5</v>
      </c>
      <c r="R40" s="597">
        <f t="shared" si="21"/>
        <v>1.0384615384615383</v>
      </c>
      <c r="S40" s="229">
        <f t="shared" si="22"/>
        <v>10</v>
      </c>
      <c r="T40" s="229">
        <f t="shared" si="23"/>
        <v>10</v>
      </c>
      <c r="U40" s="229"/>
      <c r="V40" s="229"/>
    </row>
    <row r="41" spans="8:22" x14ac:dyDescent="0.35">
      <c r="H41" s="981">
        <v>44318</v>
      </c>
      <c r="I41" s="229">
        <v>780</v>
      </c>
      <c r="J41" s="557">
        <f t="shared" si="3"/>
        <v>9</v>
      </c>
      <c r="K41" s="229"/>
      <c r="L41" s="966"/>
      <c r="M41" s="622"/>
      <c r="N41" s="622"/>
      <c r="O41" s="622"/>
      <c r="P41" s="622">
        <f t="shared" si="19"/>
        <v>3.1153846153846154</v>
      </c>
      <c r="Q41" s="622">
        <f t="shared" si="20"/>
        <v>4.5</v>
      </c>
      <c r="R41" s="597">
        <f t="shared" si="21"/>
        <v>1.3846153846153846</v>
      </c>
      <c r="S41" s="229">
        <f t="shared" si="22"/>
        <v>9</v>
      </c>
      <c r="T41" s="229">
        <f t="shared" si="23"/>
        <v>9</v>
      </c>
      <c r="U41" s="229"/>
      <c r="V41" s="229"/>
    </row>
    <row r="42" spans="8:22" x14ac:dyDescent="0.35">
      <c r="H42" s="981">
        <v>44325</v>
      </c>
      <c r="I42" s="229">
        <v>782</v>
      </c>
      <c r="J42" s="557">
        <f t="shared" si="3"/>
        <v>2</v>
      </c>
      <c r="K42" s="229"/>
      <c r="L42" s="966"/>
      <c r="M42" s="622"/>
      <c r="N42" s="622"/>
      <c r="O42" s="622"/>
      <c r="P42" s="622">
        <f t="shared" si="19"/>
        <v>0.61538461538461542</v>
      </c>
      <c r="Q42" s="622">
        <f t="shared" si="20"/>
        <v>1</v>
      </c>
      <c r="R42" s="597">
        <f t="shared" si="21"/>
        <v>0.38461538461538458</v>
      </c>
      <c r="S42" s="229">
        <f t="shared" si="22"/>
        <v>8</v>
      </c>
      <c r="T42" s="229">
        <f t="shared" si="23"/>
        <v>8</v>
      </c>
      <c r="U42" s="229"/>
      <c r="V42" s="229"/>
    </row>
    <row r="43" spans="8:22" x14ac:dyDescent="0.35">
      <c r="H43" s="981">
        <v>44332</v>
      </c>
      <c r="I43" s="229">
        <v>788</v>
      </c>
      <c r="J43" s="557">
        <f t="shared" si="3"/>
        <v>6</v>
      </c>
      <c r="K43" s="229"/>
      <c r="L43" s="966"/>
      <c r="M43" s="622"/>
      <c r="N43" s="622"/>
      <c r="O43" s="622"/>
      <c r="P43" s="622">
        <f t="shared" si="19"/>
        <v>1.6153846153846154</v>
      </c>
      <c r="Q43" s="622">
        <f t="shared" si="20"/>
        <v>3</v>
      </c>
      <c r="R43" s="597">
        <f t="shared" si="21"/>
        <v>1.3846153846153846</v>
      </c>
      <c r="S43" s="229">
        <f t="shared" si="22"/>
        <v>7</v>
      </c>
      <c r="T43" s="229">
        <f t="shared" si="23"/>
        <v>7</v>
      </c>
      <c r="U43" s="229"/>
      <c r="V43" s="229"/>
    </row>
    <row r="44" spans="8:22" x14ac:dyDescent="0.35">
      <c r="H44" s="981">
        <v>44339</v>
      </c>
      <c r="I44" s="229">
        <v>796</v>
      </c>
      <c r="J44" s="557">
        <f t="shared" si="3"/>
        <v>8</v>
      </c>
      <c r="K44" s="229"/>
      <c r="L44" s="966"/>
      <c r="M44" s="622"/>
      <c r="N44" s="622"/>
      <c r="O44" s="622"/>
      <c r="P44" s="622">
        <f t="shared" si="19"/>
        <v>1.8461538461538463</v>
      </c>
      <c r="Q44" s="622">
        <f t="shared" si="20"/>
        <v>4</v>
      </c>
      <c r="R44" s="597">
        <f t="shared" si="21"/>
        <v>2.1538461538461537</v>
      </c>
      <c r="S44" s="229">
        <f t="shared" si="22"/>
        <v>6</v>
      </c>
      <c r="T44" s="229">
        <f t="shared" si="23"/>
        <v>6</v>
      </c>
      <c r="U44" s="229"/>
      <c r="V44" s="229"/>
    </row>
    <row r="45" spans="8:22" x14ac:dyDescent="0.35">
      <c r="H45" s="982">
        <v>44347</v>
      </c>
      <c r="I45" s="554">
        <v>800</v>
      </c>
      <c r="J45" s="570">
        <f t="shared" si="3"/>
        <v>4</v>
      </c>
      <c r="K45" s="229"/>
      <c r="L45" s="966"/>
      <c r="M45" s="622"/>
      <c r="N45" s="622"/>
      <c r="O45" s="622"/>
      <c r="P45" s="622">
        <f t="shared" si="19"/>
        <v>0.76923076923076927</v>
      </c>
      <c r="Q45" s="622">
        <f t="shared" si="20"/>
        <v>2</v>
      </c>
      <c r="R45" s="597">
        <f t="shared" si="21"/>
        <v>1.2307692307692308</v>
      </c>
      <c r="S45" s="229">
        <f t="shared" si="22"/>
        <v>5</v>
      </c>
      <c r="T45" s="229">
        <f t="shared" si="23"/>
        <v>5</v>
      </c>
      <c r="U45" s="229"/>
      <c r="V45" s="229"/>
    </row>
    <row r="46" spans="8:22" x14ac:dyDescent="0.35">
      <c r="H46" s="229"/>
      <c r="I46" s="229"/>
      <c r="J46" s="229"/>
      <c r="K46" s="229"/>
      <c r="L46" s="966">
        <f>SUM(L11:L45)</f>
        <v>184.80769230769229</v>
      </c>
      <c r="M46" s="622">
        <f t="shared" ref="M46:R46" si="24">SUM(M11:M45)</f>
        <v>261.42307692307696</v>
      </c>
      <c r="N46" s="622">
        <f t="shared" si="24"/>
        <v>77.692307692307693</v>
      </c>
      <c r="O46" s="622">
        <f t="shared" si="24"/>
        <v>53.384615384615394</v>
      </c>
      <c r="P46" s="622">
        <f t="shared" si="24"/>
        <v>129.03846153846155</v>
      </c>
      <c r="Q46" s="622">
        <f t="shared" si="24"/>
        <v>85.192307692307693</v>
      </c>
      <c r="R46" s="597">
        <f t="shared" si="24"/>
        <v>8.4615384615384599</v>
      </c>
      <c r="S46" s="229"/>
      <c r="T46" s="229"/>
      <c r="U46" s="229"/>
      <c r="V46" s="229"/>
    </row>
    <row r="47" spans="8:22" x14ac:dyDescent="0.35">
      <c r="H47" s="229"/>
      <c r="I47" s="229"/>
      <c r="J47" s="229"/>
      <c r="K47" s="229"/>
      <c r="L47" s="967">
        <f>L46*4</f>
        <v>739.23076923076917</v>
      </c>
      <c r="M47" s="787">
        <f t="shared" ref="M47:R47" si="25">M46*4</f>
        <v>1045.6923076923078</v>
      </c>
      <c r="N47" s="787">
        <f t="shared" si="25"/>
        <v>310.76923076923077</v>
      </c>
      <c r="O47" s="787">
        <f t="shared" si="25"/>
        <v>213.53846153846158</v>
      </c>
      <c r="P47" s="787">
        <f t="shared" si="25"/>
        <v>516.15384615384619</v>
      </c>
      <c r="Q47" s="787">
        <f t="shared" si="25"/>
        <v>340.76923076923077</v>
      </c>
      <c r="R47" s="834">
        <f t="shared" si="25"/>
        <v>33.84615384615384</v>
      </c>
      <c r="S47" s="229" t="s">
        <v>322</v>
      </c>
      <c r="T47" s="229"/>
      <c r="U47" s="229"/>
      <c r="V47" s="229"/>
    </row>
    <row r="48" spans="8:22" x14ac:dyDescent="0.35">
      <c r="J48" s="245" t="s">
        <v>323</v>
      </c>
      <c r="L48" s="245">
        <v>634</v>
      </c>
      <c r="M48" s="710">
        <f>K55</f>
        <v>900.7</v>
      </c>
      <c r="N48" s="710">
        <f t="shared" ref="N48:P48" si="26">L55</f>
        <v>270.7</v>
      </c>
      <c r="O48" s="710">
        <f t="shared" si="26"/>
        <v>208.7</v>
      </c>
      <c r="P48" s="710">
        <f t="shared" si="26"/>
        <v>469.7</v>
      </c>
      <c r="Q48" s="710">
        <v>279</v>
      </c>
      <c r="R48" s="710"/>
    </row>
    <row r="50" spans="8:29" x14ac:dyDescent="0.35">
      <c r="H50" s="1401" t="s">
        <v>324</v>
      </c>
      <c r="I50" s="1402"/>
      <c r="J50" s="1276" t="s">
        <v>279</v>
      </c>
      <c r="K50" s="1277"/>
      <c r="L50" s="1277"/>
      <c r="M50" s="1384"/>
      <c r="N50" s="1384"/>
      <c r="O50" s="1384"/>
      <c r="P50" s="1257"/>
      <c r="Q50" s="523"/>
      <c r="R50" s="523"/>
      <c r="S50" s="523"/>
      <c r="T50" s="523"/>
      <c r="U50" s="523"/>
      <c r="V50" s="523"/>
      <c r="W50" s="523"/>
      <c r="X50" s="523"/>
      <c r="Y50" s="523"/>
    </row>
    <row r="51" spans="8:29" x14ac:dyDescent="0.35">
      <c r="H51" s="1403"/>
      <c r="I51" s="1404"/>
      <c r="J51" s="1264">
        <v>2020</v>
      </c>
      <c r="K51" s="1359"/>
      <c r="L51" s="1359"/>
      <c r="M51" s="1264">
        <v>2021</v>
      </c>
      <c r="N51" s="1359"/>
      <c r="O51" s="1359"/>
      <c r="P51" s="1266"/>
      <c r="Q51" s="1370"/>
      <c r="R51" s="1370"/>
      <c r="S51" s="1370"/>
      <c r="T51" s="1370"/>
      <c r="U51" s="1370"/>
      <c r="V51" s="1370"/>
      <c r="W51" s="1370"/>
      <c r="X51" s="1370"/>
    </row>
    <row r="52" spans="8:29" x14ac:dyDescent="0.35">
      <c r="H52" s="1428"/>
      <c r="I52" s="1429"/>
      <c r="J52" s="221" t="s">
        <v>283</v>
      </c>
      <c r="K52" s="222" t="s">
        <v>238</v>
      </c>
      <c r="L52" s="222" t="s">
        <v>281</v>
      </c>
      <c r="M52" s="282" t="s">
        <v>282</v>
      </c>
      <c r="N52" s="283" t="s">
        <v>283</v>
      </c>
      <c r="O52" s="283" t="s">
        <v>238</v>
      </c>
      <c r="P52" s="281" t="s">
        <v>281</v>
      </c>
      <c r="Q52" s="229"/>
      <c r="S52" s="245"/>
      <c r="T52" s="245"/>
      <c r="U52" s="229"/>
      <c r="V52" s="245"/>
      <c r="W52" s="245"/>
      <c r="X52" s="245"/>
      <c r="Y52" s="245"/>
      <c r="Z52" s="245"/>
      <c r="AA52" s="245"/>
    </row>
    <row r="53" spans="8:29" ht="32.9" customHeight="1" x14ac:dyDescent="0.35">
      <c r="H53" s="488" t="s">
        <v>325</v>
      </c>
      <c r="I53" s="229" t="s">
        <v>326</v>
      </c>
      <c r="J53" s="976">
        <f>'Haver Pivoted'!GU47</f>
        <v>57.2</v>
      </c>
      <c r="K53" s="965">
        <f>'Haver Pivoted'!GV47</f>
        <v>81.2</v>
      </c>
      <c r="L53" s="965">
        <f>'Haver Pivoted'!GW47</f>
        <v>24.4</v>
      </c>
      <c r="M53" s="242">
        <f>'Haver Pivoted'!GX47</f>
        <v>11.7</v>
      </c>
      <c r="N53" s="242">
        <f>'Haver Pivoted'!GY47</f>
        <v>28.5</v>
      </c>
      <c r="O53" s="372">
        <f>'Haver Pivoted'!GZ47</f>
        <v>18.8</v>
      </c>
      <c r="P53" s="372">
        <f>'Haver Pivoted'!HA47</f>
        <v>1.6</v>
      </c>
      <c r="Q53" s="242"/>
      <c r="S53" s="245"/>
      <c r="T53" s="245"/>
      <c r="U53" s="245"/>
      <c r="V53" s="245"/>
      <c r="W53" s="245"/>
      <c r="X53" s="245"/>
      <c r="Y53" s="245"/>
      <c r="Z53" s="245"/>
      <c r="AA53" s="245"/>
    </row>
    <row r="54" spans="8:29" ht="33.75" customHeight="1" x14ac:dyDescent="0.35">
      <c r="H54" s="488" t="s">
        <v>327</v>
      </c>
      <c r="I54" s="237" t="s">
        <v>328</v>
      </c>
      <c r="J54" s="970">
        <f>'Haver Pivoted'!GU49</f>
        <v>576.9</v>
      </c>
      <c r="K54" s="242">
        <f>'Haver Pivoted'!GV49</f>
        <v>819.5</v>
      </c>
      <c r="L54" s="242">
        <f>'Haver Pivoted'!GW49</f>
        <v>246.3</v>
      </c>
      <c r="M54" s="242">
        <f>'Haver Pivoted'!GX49</f>
        <v>197</v>
      </c>
      <c r="N54" s="242">
        <f>'Haver Pivoted'!GY49</f>
        <v>441.2</v>
      </c>
      <c r="O54" s="372">
        <f>'Haver Pivoted'!GZ49</f>
        <v>276.7</v>
      </c>
      <c r="P54" s="372">
        <f>'Haver Pivoted'!HA49</f>
        <v>28.2</v>
      </c>
      <c r="Q54" s="242"/>
      <c r="R54" s="242"/>
    </row>
    <row r="55" spans="8:29" x14ac:dyDescent="0.35">
      <c r="H55" s="559" t="s">
        <v>311</v>
      </c>
      <c r="I55" s="229"/>
      <c r="J55" s="970">
        <f>J54+J53</f>
        <v>634.1</v>
      </c>
      <c r="K55" s="242">
        <f t="shared" ref="K55:M55" si="27">K54+K53</f>
        <v>900.7</v>
      </c>
      <c r="L55" s="242">
        <f t="shared" si="27"/>
        <v>270.7</v>
      </c>
      <c r="M55" s="242">
        <f t="shared" si="27"/>
        <v>208.7</v>
      </c>
      <c r="N55" s="242">
        <f t="shared" ref="N55:P55" si="28">N54+N53</f>
        <v>469.7</v>
      </c>
      <c r="O55" s="372">
        <f t="shared" si="28"/>
        <v>295.5</v>
      </c>
      <c r="P55" s="372">
        <f t="shared" si="28"/>
        <v>29.8</v>
      </c>
      <c r="Q55" s="242"/>
      <c r="R55" s="242"/>
    </row>
    <row r="56" spans="8:29" x14ac:dyDescent="0.35">
      <c r="H56" s="558" t="s">
        <v>329</v>
      </c>
      <c r="I56" s="554"/>
      <c r="J56" s="788">
        <f t="shared" ref="J56:P56" si="29">J53/J55</f>
        <v>9.0206592020186091E-2</v>
      </c>
      <c r="K56" s="789">
        <f t="shared" si="29"/>
        <v>9.015210391917397E-2</v>
      </c>
      <c r="L56" s="789">
        <f t="shared" si="29"/>
        <v>9.0136682674547469E-2</v>
      </c>
      <c r="M56" s="789">
        <f t="shared" si="29"/>
        <v>5.6061332055582176E-2</v>
      </c>
      <c r="N56" s="789">
        <f t="shared" si="29"/>
        <v>6.0677027890142649E-2</v>
      </c>
      <c r="O56" s="971">
        <f t="shared" si="29"/>
        <v>6.3620981387478848E-2</v>
      </c>
      <c r="P56" s="971">
        <f t="shared" si="29"/>
        <v>5.3691275167785234E-2</v>
      </c>
      <c r="Q56" s="979"/>
      <c r="R56" s="821"/>
    </row>
    <row r="58" spans="8:29" x14ac:dyDescent="0.35">
      <c r="H58" s="245" t="s">
        <v>815</v>
      </c>
    </row>
    <row r="59" spans="8:29" x14ac:dyDescent="0.35">
      <c r="H59" s="280"/>
      <c r="I59" s="229"/>
      <c r="J59" s="242"/>
      <c r="K59" s="242"/>
      <c r="L59" s="242"/>
      <c r="M59" s="242"/>
      <c r="N59" s="242"/>
      <c r="O59" s="242"/>
      <c r="P59" s="511"/>
      <c r="Q59" s="242"/>
      <c r="R59" s="242"/>
      <c r="S59" s="242"/>
      <c r="T59" s="245"/>
      <c r="U59" s="245"/>
      <c r="V59" s="245"/>
      <c r="W59" s="245"/>
      <c r="X59" s="245"/>
      <c r="Y59" s="245"/>
      <c r="Z59" s="245"/>
      <c r="AA59" s="245"/>
      <c r="AB59" s="245"/>
      <c r="AC59" s="245"/>
    </row>
    <row r="60" spans="8:29" x14ac:dyDescent="0.35">
      <c r="P60" s="242"/>
      <c r="Q60" s="245"/>
      <c r="R60" s="245"/>
      <c r="S60" s="245"/>
      <c r="T60" s="245"/>
      <c r="U60" s="245"/>
      <c r="V60" s="245"/>
      <c r="W60" s="245"/>
      <c r="X60" s="245"/>
      <c r="Y60" s="245"/>
      <c r="Z60" s="245"/>
      <c r="AA60" s="245"/>
      <c r="AB60" s="245"/>
      <c r="AC60" s="245"/>
    </row>
    <row r="61" spans="8:29" x14ac:dyDescent="0.35">
      <c r="P61" s="242"/>
      <c r="Q61" s="977"/>
      <c r="R61" s="977"/>
      <c r="S61" s="977"/>
      <c r="T61" s="977"/>
      <c r="U61" s="977"/>
      <c r="V61" s="977"/>
      <c r="W61" s="977"/>
      <c r="X61" s="977"/>
      <c r="Y61" s="977"/>
      <c r="Z61" s="977"/>
      <c r="AA61" s="977"/>
      <c r="AB61" s="977"/>
      <c r="AC61" s="245"/>
    </row>
    <row r="62" spans="8:29" x14ac:dyDescent="0.35">
      <c r="P62" s="242"/>
      <c r="Q62" s="977"/>
      <c r="R62" s="977"/>
      <c r="S62" s="977"/>
      <c r="T62" s="977"/>
      <c r="U62" s="977"/>
      <c r="V62" s="977"/>
      <c r="W62" s="977"/>
      <c r="X62" s="977"/>
      <c r="Y62" s="977"/>
      <c r="Z62" s="977"/>
      <c r="AA62" s="977"/>
      <c r="AB62" s="977"/>
      <c r="AC62" s="245"/>
    </row>
    <row r="63" spans="8:29" x14ac:dyDescent="0.35">
      <c r="I63" s="245" t="s">
        <v>282</v>
      </c>
      <c r="J63" s="245" t="s">
        <v>283</v>
      </c>
      <c r="K63" s="245" t="s">
        <v>238</v>
      </c>
      <c r="L63" s="245" t="s">
        <v>281</v>
      </c>
      <c r="P63" s="821"/>
      <c r="Q63" s="977"/>
      <c r="R63" s="977"/>
      <c r="S63" s="977"/>
      <c r="T63" s="977"/>
      <c r="U63" s="977"/>
      <c r="V63" s="977"/>
      <c r="W63" s="977"/>
      <c r="X63" s="977"/>
      <c r="Y63" s="977"/>
      <c r="Z63" s="977"/>
      <c r="AA63" s="977"/>
      <c r="AB63" s="977"/>
      <c r="AC63" s="245"/>
    </row>
    <row r="64" spans="8:29" x14ac:dyDescent="0.35">
      <c r="H64" s="245" t="s">
        <v>816</v>
      </c>
      <c r="I64" s="245">
        <v>81.599999999999994</v>
      </c>
      <c r="J64" s="245">
        <v>188.9</v>
      </c>
      <c r="K64" s="245">
        <v>117.2</v>
      </c>
      <c r="L64" s="245" t="e">
        <f>#REF!+#REF!</f>
        <v>#REF!</v>
      </c>
      <c r="P64" s="245"/>
      <c r="Q64" s="245"/>
      <c r="R64" s="245"/>
      <c r="S64" s="245"/>
      <c r="T64" s="245"/>
      <c r="U64" s="245"/>
      <c r="V64" s="245"/>
      <c r="W64" s="245"/>
      <c r="X64" s="245"/>
      <c r="Y64" s="245"/>
      <c r="Z64" s="245"/>
      <c r="AA64" s="245"/>
      <c r="AB64" s="245"/>
      <c r="AC64" s="245"/>
    </row>
    <row r="65" spans="7:29" x14ac:dyDescent="0.35">
      <c r="H65" s="245" t="s">
        <v>468</v>
      </c>
      <c r="I65" s="710">
        <f>M53</f>
        <v>11.7</v>
      </c>
      <c r="J65" s="710">
        <f t="shared" ref="J65:K65" si="30">N53</f>
        <v>28.5</v>
      </c>
      <c r="K65" s="710">
        <f t="shared" si="30"/>
        <v>18.8</v>
      </c>
      <c r="L65" s="245" t="e">
        <f>#REF!</f>
        <v>#REF!</v>
      </c>
      <c r="P65" s="245"/>
      <c r="Q65" s="245"/>
      <c r="R65" s="245"/>
      <c r="S65" s="245"/>
      <c r="T65" s="245"/>
      <c r="U65" s="245"/>
      <c r="V65" s="245"/>
      <c r="W65" s="245"/>
      <c r="X65" s="245"/>
      <c r="Y65" s="245"/>
      <c r="Z65" s="245"/>
      <c r="AA65" s="245"/>
      <c r="AB65" s="245"/>
      <c r="AC65" s="245"/>
    </row>
    <row r="66" spans="7:29" x14ac:dyDescent="0.35">
      <c r="H66" s="245" t="s">
        <v>817</v>
      </c>
      <c r="I66" s="710">
        <f>I67-SUM(I64:I65)</f>
        <v>115.39999999999999</v>
      </c>
      <c r="J66" s="710">
        <f t="shared" ref="J66:K66" si="31">J67-SUM(J64:J65)</f>
        <v>252.29999999999998</v>
      </c>
      <c r="K66" s="710">
        <f t="shared" si="31"/>
        <v>159.5</v>
      </c>
      <c r="L66" s="710" t="e">
        <f>1.26*L64</f>
        <v>#REF!</v>
      </c>
      <c r="P66" s="245"/>
      <c r="Q66" s="245"/>
      <c r="R66" s="245"/>
      <c r="S66" s="245"/>
      <c r="T66" s="245"/>
      <c r="U66" s="245"/>
      <c r="V66" s="245"/>
      <c r="W66" s="245"/>
      <c r="X66" s="245"/>
      <c r="Y66" s="245"/>
      <c r="Z66" s="245"/>
      <c r="AA66" s="245"/>
      <c r="AB66" s="245"/>
      <c r="AC66" s="245"/>
    </row>
    <row r="67" spans="7:29" x14ac:dyDescent="0.35">
      <c r="H67" s="245" t="s">
        <v>311</v>
      </c>
      <c r="I67" s="710">
        <f>M55</f>
        <v>208.7</v>
      </c>
      <c r="J67" s="710">
        <f>N55</f>
        <v>469.7</v>
      </c>
      <c r="K67" s="710">
        <f>O55</f>
        <v>295.5</v>
      </c>
      <c r="L67" s="710" t="e">
        <f>SUM(L64:L66)</f>
        <v>#REF!</v>
      </c>
    </row>
    <row r="68" spans="7:29" x14ac:dyDescent="0.35">
      <c r="G68" s="245" t="s">
        <v>818</v>
      </c>
    </row>
    <row r="69" spans="7:29" x14ac:dyDescent="0.35">
      <c r="H69" s="245" t="s">
        <v>816</v>
      </c>
      <c r="I69" s="968">
        <f>I64/I$67</f>
        <v>0.39099185433636796</v>
      </c>
      <c r="J69" s="968">
        <f t="shared" ref="J69:L69" si="32">J64/J$67</f>
        <v>0.40217159889291038</v>
      </c>
      <c r="K69" s="968">
        <f t="shared" si="32"/>
        <v>0.3966159052453469</v>
      </c>
      <c r="L69" s="968" t="e">
        <f t="shared" si="32"/>
        <v>#REF!</v>
      </c>
    </row>
    <row r="70" spans="7:29" x14ac:dyDescent="0.35">
      <c r="H70" s="245" t="s">
        <v>468</v>
      </c>
      <c r="I70" s="968">
        <f t="shared" ref="I70:L71" si="33">I65/I$67</f>
        <v>5.6061332055582176E-2</v>
      </c>
      <c r="J70" s="968">
        <f t="shared" si="33"/>
        <v>6.0677027890142649E-2</v>
      </c>
      <c r="K70" s="968">
        <f t="shared" si="33"/>
        <v>6.3620981387478848E-2</v>
      </c>
      <c r="L70" s="968" t="e">
        <f t="shared" si="33"/>
        <v>#REF!</v>
      </c>
    </row>
    <row r="71" spans="7:29" x14ac:dyDescent="0.35">
      <c r="H71" s="245" t="s">
        <v>817</v>
      </c>
      <c r="I71" s="968">
        <f t="shared" si="33"/>
        <v>0.55294681360804987</v>
      </c>
      <c r="J71" s="968">
        <f t="shared" si="33"/>
        <v>0.53715137321694695</v>
      </c>
      <c r="K71" s="968">
        <f t="shared" si="33"/>
        <v>0.53976311336717431</v>
      </c>
      <c r="L71" s="968" t="e">
        <f t="shared" si="33"/>
        <v>#REF!</v>
      </c>
    </row>
    <row r="73" spans="7:29" x14ac:dyDescent="0.35">
      <c r="H73" s="245" t="s">
        <v>819</v>
      </c>
      <c r="I73" s="245">
        <f>I66/I64</f>
        <v>1.4142156862745099</v>
      </c>
      <c r="J73" s="245">
        <f t="shared" ref="J73:K73" si="34">J66/J64</f>
        <v>1.3356273160402328</v>
      </c>
      <c r="K73" s="245">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22" t="s">
        <v>152</v>
      </c>
      <c r="C1" s="1322"/>
      <c r="D1" s="1322"/>
      <c r="E1" s="1322"/>
      <c r="F1" s="1322"/>
      <c r="G1" s="1322"/>
      <c r="H1" s="1322"/>
      <c r="I1" s="1322"/>
      <c r="J1" s="1322"/>
      <c r="K1" s="1322"/>
      <c r="L1" s="1322"/>
      <c r="M1" s="1322"/>
      <c r="N1" s="1322"/>
      <c r="O1" s="1322"/>
      <c r="P1" s="1322"/>
      <c r="Q1" s="1322"/>
      <c r="R1" s="1322"/>
      <c r="S1" s="1322"/>
      <c r="T1" s="1322"/>
    </row>
    <row r="2" spans="1:22" x14ac:dyDescent="0.35">
      <c r="B2" s="1430" t="s">
        <v>854</v>
      </c>
      <c r="C2" s="1430"/>
      <c r="D2" s="1430"/>
      <c r="E2" s="1430"/>
      <c r="F2" s="1430"/>
      <c r="G2" s="1430"/>
      <c r="H2" s="1430"/>
      <c r="I2" s="1430"/>
      <c r="J2" s="1430"/>
      <c r="K2" s="1430"/>
      <c r="L2" s="1430"/>
      <c r="M2" s="1430"/>
      <c r="N2" s="1430"/>
      <c r="O2" s="1430"/>
      <c r="P2" s="1430"/>
      <c r="Q2" s="1430"/>
      <c r="R2" s="1430"/>
      <c r="S2" s="1430"/>
      <c r="T2" s="1430"/>
    </row>
    <row r="3" spans="1:22" x14ac:dyDescent="0.35">
      <c r="B3" s="1430"/>
      <c r="C3" s="1430"/>
      <c r="D3" s="1430"/>
      <c r="E3" s="1430"/>
      <c r="F3" s="1430"/>
      <c r="G3" s="1430"/>
      <c r="H3" s="1430"/>
      <c r="I3" s="1430"/>
      <c r="J3" s="1430"/>
      <c r="K3" s="1430"/>
      <c r="L3" s="1430"/>
      <c r="M3" s="1430"/>
      <c r="N3" s="1430"/>
      <c r="O3" s="1430"/>
      <c r="P3" s="1430"/>
      <c r="Q3" s="1430"/>
      <c r="R3" s="1430"/>
      <c r="S3" s="1430"/>
      <c r="T3" s="1430"/>
    </row>
    <row r="4" spans="1:22" x14ac:dyDescent="0.35">
      <c r="B4" s="1430"/>
      <c r="C4" s="1430"/>
      <c r="D4" s="1430"/>
      <c r="E4" s="1430"/>
      <c r="F4" s="1430"/>
      <c r="G4" s="1430"/>
      <c r="H4" s="1430"/>
      <c r="I4" s="1430"/>
      <c r="J4" s="1430"/>
      <c r="K4" s="1430"/>
      <c r="L4" s="1430"/>
      <c r="M4" s="1430"/>
      <c r="N4" s="1430"/>
      <c r="O4" s="1430"/>
      <c r="P4" s="1430"/>
      <c r="Q4" s="1430"/>
      <c r="R4" s="1430"/>
      <c r="S4" s="1430"/>
      <c r="T4" s="1430"/>
    </row>
    <row r="5" spans="1:22" x14ac:dyDescent="0.35">
      <c r="B5" s="1430"/>
      <c r="C5" s="1430"/>
      <c r="D5" s="1430"/>
      <c r="E5" s="1430"/>
      <c r="F5" s="1430"/>
      <c r="G5" s="1430"/>
      <c r="H5" s="1430"/>
      <c r="I5" s="1430"/>
      <c r="J5" s="1430"/>
      <c r="K5" s="1430"/>
      <c r="L5" s="1430"/>
      <c r="M5" s="1430"/>
      <c r="N5" s="1430"/>
      <c r="O5" s="1430"/>
      <c r="P5" s="1430"/>
      <c r="Q5" s="1430"/>
      <c r="R5" s="1430"/>
      <c r="S5" s="1430"/>
      <c r="T5" s="1430"/>
    </row>
    <row r="6" spans="1:22" x14ac:dyDescent="0.35">
      <c r="B6" s="1430"/>
      <c r="C6" s="1430"/>
      <c r="D6" s="1430"/>
      <c r="E6" s="1430"/>
      <c r="F6" s="1430"/>
      <c r="G6" s="1430"/>
      <c r="H6" s="1430"/>
      <c r="I6" s="1430"/>
      <c r="J6" s="1430"/>
      <c r="K6" s="1430"/>
      <c r="L6" s="1430"/>
      <c r="M6" s="1430"/>
      <c r="N6" s="1430"/>
      <c r="O6" s="1430"/>
      <c r="P6" s="1430"/>
      <c r="Q6" s="1430"/>
      <c r="R6" s="1430"/>
      <c r="S6" s="1430"/>
      <c r="T6" s="1430"/>
    </row>
    <row r="7" spans="1:22" x14ac:dyDescent="0.35">
      <c r="J7" s="74"/>
      <c r="K7" s="74"/>
      <c r="M7" s="74"/>
    </row>
    <row r="9" spans="1:22" ht="14.9" customHeight="1" x14ac:dyDescent="0.35">
      <c r="A9" s="210"/>
      <c r="B9" s="1431" t="s">
        <v>303</v>
      </c>
      <c r="C9" s="1432"/>
      <c r="D9" s="1009">
        <v>2018</v>
      </c>
      <c r="E9" s="1437">
        <v>2019</v>
      </c>
      <c r="F9" s="1438"/>
      <c r="G9" s="1438"/>
      <c r="H9" s="1439"/>
      <c r="I9" s="1435">
        <v>2020</v>
      </c>
      <c r="J9" s="1436"/>
      <c r="K9" s="1436"/>
      <c r="L9" s="1436"/>
      <c r="M9" s="1440">
        <v>2021</v>
      </c>
      <c r="N9" s="1441"/>
      <c r="O9" s="1441"/>
      <c r="P9" s="1442"/>
      <c r="Q9" s="1435">
        <v>2022</v>
      </c>
      <c r="R9" s="1443"/>
      <c r="S9" s="1443"/>
      <c r="T9" s="1444"/>
    </row>
    <row r="10" spans="1:22" x14ac:dyDescent="0.35">
      <c r="B10" s="1433"/>
      <c r="C10" s="1434"/>
      <c r="D10" s="987" t="s">
        <v>281</v>
      </c>
      <c r="E10" s="988" t="s">
        <v>282</v>
      </c>
      <c r="F10" s="659" t="s">
        <v>283</v>
      </c>
      <c r="G10" s="659" t="s">
        <v>238</v>
      </c>
      <c r="H10" s="989" t="s">
        <v>281</v>
      </c>
      <c r="I10" s="988" t="s">
        <v>282</v>
      </c>
      <c r="J10" s="659" t="s">
        <v>283</v>
      </c>
      <c r="K10" s="659" t="s">
        <v>238</v>
      </c>
      <c r="L10" s="659" t="s">
        <v>281</v>
      </c>
      <c r="M10" s="221" t="s">
        <v>282</v>
      </c>
      <c r="N10" s="222" t="s">
        <v>283</v>
      </c>
      <c r="O10" s="222" t="s">
        <v>238</v>
      </c>
      <c r="P10" s="228" t="s">
        <v>281</v>
      </c>
      <c r="Q10" s="659" t="s">
        <v>282</v>
      </c>
      <c r="R10" s="659" t="s">
        <v>283</v>
      </c>
      <c r="S10" s="659" t="s">
        <v>238</v>
      </c>
      <c r="T10" s="989" t="s">
        <v>281</v>
      </c>
    </row>
    <row r="11" spans="1:22" ht="29.15" customHeight="1" x14ac:dyDescent="0.35">
      <c r="A11" s="1007"/>
      <c r="B11" s="991" t="s">
        <v>139</v>
      </c>
      <c r="C11" s="986" t="s">
        <v>304</v>
      </c>
      <c r="D11" s="1000"/>
      <c r="E11" s="1001"/>
      <c r="F11" s="1001"/>
      <c r="G11" s="1001"/>
      <c r="H11" s="1001"/>
      <c r="I11" s="1001"/>
      <c r="J11" s="993">
        <f>'Haver Pivoted'!GU48</f>
        <v>160.9</v>
      </c>
      <c r="K11" s="993">
        <f>'Haver Pivoted'!GV48</f>
        <v>58.4</v>
      </c>
      <c r="L11" s="993">
        <f>'Haver Pivoted'!GW48</f>
        <v>34.5</v>
      </c>
      <c r="M11" s="993">
        <f>'Haver Pivoted'!GX48</f>
        <v>21.4</v>
      </c>
      <c r="N11" s="993">
        <f>'Haver Pivoted'!GY48</f>
        <v>13.3</v>
      </c>
      <c r="O11" s="993">
        <f>'Haver Pivoted'!GZ48</f>
        <v>18.7</v>
      </c>
      <c r="P11" s="993">
        <f>'Haver Pivoted'!HA48</f>
        <v>32.200000000000003</v>
      </c>
      <c r="Q11" s="993">
        <f>'Haver Pivoted'!HB48</f>
        <v>26.9</v>
      </c>
      <c r="R11" s="993">
        <f>'Haver Pivoted'!HC48</f>
        <v>20</v>
      </c>
      <c r="S11" s="999">
        <f>'Haver Pivoted'!HD48</f>
        <v>8.1</v>
      </c>
      <c r="T11" s="994">
        <f>'Haver Pivoted'!HE48</f>
        <v>4.9000000000000004</v>
      </c>
    </row>
    <row r="12" spans="1:22" ht="29.15" customHeight="1" x14ac:dyDescent="0.35">
      <c r="A12" s="1007"/>
      <c r="B12" s="1005" t="s">
        <v>305</v>
      </c>
      <c r="C12" s="182" t="s">
        <v>306</v>
      </c>
      <c r="D12" s="1005"/>
      <c r="E12" s="182"/>
      <c r="F12" s="182"/>
      <c r="G12" s="182"/>
      <c r="H12" s="182"/>
      <c r="I12" s="182"/>
      <c r="J12" s="995">
        <f>'Haver Pivoted'!GU58</f>
        <v>64.400000000000006</v>
      </c>
      <c r="K12" s="995">
        <f>'Haver Pivoted'!GV58</f>
        <v>23.4</v>
      </c>
      <c r="L12" s="995">
        <f>'Haver Pivoted'!GW58</f>
        <v>13.8</v>
      </c>
      <c r="M12" s="995">
        <f>'Haver Pivoted'!GX58</f>
        <v>12</v>
      </c>
      <c r="N12" s="995">
        <f>'Haver Pivoted'!GY58</f>
        <v>7.5</v>
      </c>
      <c r="O12" s="995">
        <f>'Haver Pivoted'!GZ58</f>
        <v>10.5</v>
      </c>
      <c r="P12" s="995">
        <f>'Haver Pivoted'!HA58</f>
        <v>18</v>
      </c>
      <c r="Q12" s="995">
        <f>'Haver Pivoted'!HB58</f>
        <v>15</v>
      </c>
      <c r="R12" s="995">
        <f>'Haver Pivoted'!HC58</f>
        <v>11.2</v>
      </c>
      <c r="S12" s="998">
        <f>'Haver Pivoted'!HD58</f>
        <v>7.5</v>
      </c>
      <c r="T12" s="1002">
        <f>'Haver Pivoted'!HE58</f>
        <v>6.2</v>
      </c>
    </row>
    <row r="13" spans="1:22" ht="47.15" customHeight="1" x14ac:dyDescent="0.35">
      <c r="A13" s="1007"/>
      <c r="B13" s="1005" t="s">
        <v>307</v>
      </c>
      <c r="C13" s="182" t="s">
        <v>308</v>
      </c>
      <c r="D13" s="1005"/>
      <c r="E13" s="182"/>
      <c r="F13" s="182"/>
      <c r="G13" s="182"/>
      <c r="H13" s="182"/>
      <c r="I13" s="182"/>
      <c r="J13" s="995">
        <f>'Haver Pivoted'!GU54</f>
        <v>96.6</v>
      </c>
      <c r="K13" s="995">
        <f>'Haver Pivoted'!GV54</f>
        <v>35.1</v>
      </c>
      <c r="L13" s="995">
        <f>'Haver Pivoted'!GW54</f>
        <v>20.7</v>
      </c>
      <c r="M13" s="995">
        <f>'Haver Pivoted'!GX54</f>
        <v>15.4</v>
      </c>
      <c r="N13" s="995">
        <f>'Haver Pivoted'!GY54</f>
        <v>9.6</v>
      </c>
      <c r="O13" s="995">
        <f>'Haver Pivoted'!GZ54</f>
        <v>13.5</v>
      </c>
      <c r="P13" s="995">
        <f>'Haver Pivoted'!HA54</f>
        <v>23.2</v>
      </c>
      <c r="Q13" s="995">
        <f>'Haver Pivoted'!HB54</f>
        <v>19.3</v>
      </c>
      <c r="R13" s="995">
        <f>'Haver Pivoted'!HC54</f>
        <v>14.4</v>
      </c>
      <c r="S13" s="998">
        <f>'Haver Pivoted'!HD54</f>
        <v>5.9</v>
      </c>
      <c r="T13" s="1002">
        <f>'Haver Pivoted'!HE54</f>
        <v>3.6</v>
      </c>
      <c r="U13" s="996" t="s">
        <v>309</v>
      </c>
      <c r="V13" s="1010" t="s">
        <v>310</v>
      </c>
    </row>
    <row r="14" spans="1:22" x14ac:dyDescent="0.35">
      <c r="B14" s="41" t="s">
        <v>311</v>
      </c>
      <c r="C14" s="43"/>
      <c r="D14" s="41"/>
      <c r="E14" s="43"/>
      <c r="F14" s="43"/>
      <c r="G14" s="43"/>
      <c r="H14" s="43"/>
      <c r="I14" s="43"/>
      <c r="J14" s="995">
        <f t="shared" ref="J14:T14" si="0">J13+J12+J11</f>
        <v>321.89999999999998</v>
      </c>
      <c r="K14" s="995">
        <f t="shared" si="0"/>
        <v>116.9</v>
      </c>
      <c r="L14" s="995">
        <f t="shared" si="0"/>
        <v>69</v>
      </c>
      <c r="M14" s="995">
        <f t="shared" si="0"/>
        <v>48.8</v>
      </c>
      <c r="N14" s="995">
        <f t="shared" si="0"/>
        <v>30.400000000000002</v>
      </c>
      <c r="O14" s="995">
        <f t="shared" si="0"/>
        <v>42.7</v>
      </c>
      <c r="P14" s="995">
        <f t="shared" si="0"/>
        <v>73.400000000000006</v>
      </c>
      <c r="Q14" s="995">
        <f t="shared" si="0"/>
        <v>61.199999999999996</v>
      </c>
      <c r="R14" s="995">
        <f t="shared" si="0"/>
        <v>45.6</v>
      </c>
      <c r="S14" s="998">
        <f t="shared" si="0"/>
        <v>21.5</v>
      </c>
      <c r="T14" s="1002">
        <f t="shared" si="0"/>
        <v>14.700000000000001</v>
      </c>
      <c r="U14" s="997">
        <v>236</v>
      </c>
      <c r="V14" s="990">
        <f>SUM(J14:S14)/4</f>
        <v>207.85</v>
      </c>
    </row>
    <row r="15" spans="1:22" x14ac:dyDescent="0.35">
      <c r="B15" s="1006" t="s">
        <v>312</v>
      </c>
      <c r="C15" s="45"/>
      <c r="D15" s="1006"/>
      <c r="E15" s="45"/>
      <c r="F15" s="45"/>
      <c r="G15" s="45"/>
      <c r="H15" s="45"/>
      <c r="I15" s="45"/>
      <c r="J15" s="210">
        <f t="shared" ref="J15:N17" si="1">J11/J$14</f>
        <v>0.49984467225846541</v>
      </c>
      <c r="K15" s="210">
        <f t="shared" si="1"/>
        <v>0.49957228400342168</v>
      </c>
      <c r="L15" s="210">
        <f t="shared" si="1"/>
        <v>0.5</v>
      </c>
      <c r="M15" s="210">
        <f t="shared" si="1"/>
        <v>0.43852459016393441</v>
      </c>
      <c r="N15" s="210">
        <f t="shared" si="1"/>
        <v>0.4375</v>
      </c>
      <c r="O15" s="210">
        <f>O11/O$14</f>
        <v>0.43793911007025754</v>
      </c>
      <c r="P15" s="210">
        <f t="shared" ref="P15:T15" si="2">P11/P$14</f>
        <v>0.43869209809264303</v>
      </c>
      <c r="Q15" s="210">
        <f t="shared" si="2"/>
        <v>0.43954248366013071</v>
      </c>
      <c r="R15" s="210">
        <f t="shared" si="2"/>
        <v>0.43859649122807015</v>
      </c>
      <c r="S15" s="659">
        <f t="shared" si="2"/>
        <v>0.37674418604651161</v>
      </c>
      <c r="T15" s="989">
        <f t="shared" si="2"/>
        <v>0.33333333333333331</v>
      </c>
    </row>
    <row r="16" spans="1:22" x14ac:dyDescent="0.35">
      <c r="B16" s="1006" t="s">
        <v>313</v>
      </c>
      <c r="C16" s="45"/>
      <c r="D16" s="1006"/>
      <c r="E16" s="45"/>
      <c r="F16" s="45"/>
      <c r="G16" s="45"/>
      <c r="H16" s="45"/>
      <c r="I16" s="45"/>
      <c r="J16" s="210">
        <f t="shared" si="1"/>
        <v>0.20006213109661389</v>
      </c>
      <c r="K16" s="210">
        <f t="shared" si="1"/>
        <v>0.20017108639863129</v>
      </c>
      <c r="L16" s="210">
        <f t="shared" si="1"/>
        <v>0.2</v>
      </c>
      <c r="M16" s="210">
        <f t="shared" si="1"/>
        <v>0.24590163934426232</v>
      </c>
      <c r="N16" s="210">
        <f t="shared" si="1"/>
        <v>0.24671052631578946</v>
      </c>
      <c r="O16" s="210">
        <f t="shared" ref="O16:T16" si="3">O12/O$14</f>
        <v>0.24590163934426229</v>
      </c>
      <c r="P16" s="210">
        <f t="shared" si="3"/>
        <v>0.24523160762942778</v>
      </c>
      <c r="Q16" s="210">
        <f t="shared" si="3"/>
        <v>0.24509803921568629</v>
      </c>
      <c r="R16" s="210">
        <f t="shared" si="3"/>
        <v>0.24561403508771928</v>
      </c>
      <c r="S16" s="659">
        <f t="shared" si="3"/>
        <v>0.34883720930232559</v>
      </c>
      <c r="T16" s="989">
        <f t="shared" si="3"/>
        <v>0.42176870748299317</v>
      </c>
      <c r="U16" s="336"/>
    </row>
    <row r="17" spans="2:21" x14ac:dyDescent="0.35">
      <c r="B17" s="1008" t="s">
        <v>314</v>
      </c>
      <c r="C17" s="985"/>
      <c r="D17" s="1008"/>
      <c r="E17" s="985"/>
      <c r="F17" s="985"/>
      <c r="G17" s="985"/>
      <c r="H17" s="985"/>
      <c r="I17" s="985"/>
      <c r="J17" s="645">
        <f t="shared" si="1"/>
        <v>0.30009319664492079</v>
      </c>
      <c r="K17" s="645">
        <f t="shared" si="1"/>
        <v>0.30025662959794697</v>
      </c>
      <c r="L17" s="645">
        <f t="shared" si="1"/>
        <v>0.3</v>
      </c>
      <c r="M17" s="645">
        <f t="shared" si="1"/>
        <v>0.3155737704918033</v>
      </c>
      <c r="N17" s="645">
        <f t="shared" si="1"/>
        <v>0.31578947368421051</v>
      </c>
      <c r="O17" s="645">
        <f t="shared" ref="O17:T17" si="4">O13/O$14</f>
        <v>0.31615925058548006</v>
      </c>
      <c r="P17" s="645">
        <f t="shared" si="4"/>
        <v>0.3160762942779291</v>
      </c>
      <c r="Q17" s="645">
        <f t="shared" si="4"/>
        <v>0.31535947712418305</v>
      </c>
      <c r="R17" s="645">
        <f t="shared" si="4"/>
        <v>0.31578947368421051</v>
      </c>
      <c r="S17" s="992">
        <f t="shared" si="4"/>
        <v>0.2744186046511628</v>
      </c>
      <c r="T17" s="1003">
        <f t="shared" si="4"/>
        <v>0.24489795918367346</v>
      </c>
    </row>
    <row r="18" spans="2:21" x14ac:dyDescent="0.35">
      <c r="B18" s="45"/>
      <c r="C18" s="45"/>
      <c r="D18" s="45"/>
      <c r="E18" s="45"/>
      <c r="F18" s="45"/>
      <c r="G18" s="45"/>
      <c r="H18" s="45"/>
      <c r="I18" s="45"/>
      <c r="J18" s="210"/>
      <c r="K18" s="210"/>
      <c r="L18" s="210"/>
      <c r="M18" s="210"/>
      <c r="N18" s="210"/>
      <c r="O18" s="210"/>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B2" sqref="B2:AC4"/>
    </sheetView>
  </sheetViews>
  <sheetFormatPr defaultColWidth="10.90625" defaultRowHeight="14.5" x14ac:dyDescent="0.35"/>
  <cols>
    <col min="1" max="1" width="6" customWidth="1"/>
    <col min="2" max="2" width="29.453125" customWidth="1"/>
    <col min="3" max="7" width="10.453125" customWidth="1"/>
  </cols>
  <sheetData>
    <row r="1" spans="1:29" x14ac:dyDescent="0.35">
      <c r="B1" s="1253" t="s">
        <v>56</v>
      </c>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row>
    <row r="2" spans="1:29" ht="14.9" customHeight="1" x14ac:dyDescent="0.35">
      <c r="B2" s="1346" t="s">
        <v>457</v>
      </c>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6"/>
      <c r="AA2" s="1346"/>
      <c r="AB2" s="1346"/>
      <c r="AC2" s="1346"/>
    </row>
    <row r="3" spans="1:29" x14ac:dyDescent="0.35">
      <c r="B3" s="1346"/>
      <c r="C3" s="1346"/>
      <c r="D3" s="1346"/>
      <c r="E3" s="1346"/>
      <c r="F3" s="1346"/>
      <c r="G3" s="1346"/>
      <c r="H3" s="1346"/>
      <c r="I3" s="1346"/>
      <c r="J3" s="1346"/>
      <c r="K3" s="1346"/>
      <c r="L3" s="1346"/>
      <c r="M3" s="1346"/>
      <c r="N3" s="1346"/>
      <c r="O3" s="1346"/>
      <c r="P3" s="1346"/>
      <c r="Q3" s="1346"/>
      <c r="R3" s="1346"/>
      <c r="S3" s="1346"/>
      <c r="T3" s="1346"/>
      <c r="U3" s="1346"/>
      <c r="V3" s="1346"/>
      <c r="W3" s="1346"/>
      <c r="X3" s="1346"/>
      <c r="Y3" s="1346"/>
      <c r="Z3" s="1346"/>
      <c r="AA3" s="1346"/>
      <c r="AB3" s="1346"/>
      <c r="AC3" s="1346"/>
    </row>
    <row r="4" spans="1:29" x14ac:dyDescent="0.35">
      <c r="B4" s="1346"/>
      <c r="C4" s="1346"/>
      <c r="D4" s="1346"/>
      <c r="E4" s="1346"/>
      <c r="F4" s="1346"/>
      <c r="G4" s="1346"/>
      <c r="H4" s="1346"/>
      <c r="I4" s="1346"/>
      <c r="J4" s="1346"/>
      <c r="K4" s="1346"/>
      <c r="L4" s="1346"/>
      <c r="M4" s="1346"/>
      <c r="N4" s="1346"/>
      <c r="O4" s="1346"/>
      <c r="P4" s="1346"/>
      <c r="Q4" s="1346"/>
      <c r="R4" s="1346"/>
      <c r="S4" s="1346"/>
      <c r="T4" s="1346"/>
      <c r="U4" s="1346"/>
      <c r="V4" s="1346"/>
      <c r="W4" s="1346"/>
      <c r="X4" s="1346"/>
      <c r="Y4" s="1346"/>
      <c r="Z4" s="1346"/>
      <c r="AA4" s="1346"/>
      <c r="AB4" s="1346"/>
      <c r="AC4" s="1346"/>
    </row>
    <row r="5" spans="1:29" x14ac:dyDescent="0.35">
      <c r="B5" s="406"/>
      <c r="C5" s="245"/>
      <c r="D5" s="245"/>
      <c r="E5" s="245"/>
      <c r="F5" s="245"/>
      <c r="G5" s="245"/>
      <c r="H5" s="245"/>
      <c r="I5" s="245"/>
      <c r="J5" s="245"/>
      <c r="K5" s="245"/>
      <c r="L5" s="245"/>
      <c r="M5" s="245"/>
      <c r="N5" s="245"/>
      <c r="O5" s="245"/>
      <c r="P5" s="245"/>
      <c r="Q5" s="245"/>
      <c r="R5" s="245"/>
      <c r="S5" s="245"/>
      <c r="T5" s="245"/>
      <c r="U5" s="245"/>
      <c r="V5" s="245"/>
      <c r="W5" s="245"/>
      <c r="X5" s="245"/>
      <c r="Y5" s="245"/>
    </row>
    <row r="6" spans="1:29" x14ac:dyDescent="0.35">
      <c r="B6" s="1256" t="s">
        <v>402</v>
      </c>
      <c r="C6" s="1257"/>
      <c r="D6" s="1353" t="s">
        <v>279</v>
      </c>
      <c r="E6" s="1354"/>
      <c r="F6" s="1354"/>
      <c r="G6" s="1354"/>
      <c r="H6" s="1354"/>
      <c r="I6" s="1354"/>
      <c r="J6" s="1354"/>
      <c r="K6" s="1354"/>
      <c r="L6" s="1354"/>
      <c r="M6" s="1354"/>
      <c r="N6" s="1354"/>
      <c r="O6" s="1354"/>
      <c r="P6" s="1354"/>
      <c r="Q6" s="1273"/>
      <c r="R6" s="1273"/>
      <c r="S6" s="1273"/>
      <c r="T6" s="1257"/>
      <c r="U6" s="1357" t="s">
        <v>280</v>
      </c>
      <c r="V6" s="1357"/>
      <c r="W6" s="1357"/>
      <c r="X6" s="1357"/>
      <c r="Y6" s="1357"/>
      <c r="Z6" s="1357"/>
      <c r="AA6" s="1357"/>
      <c r="AB6" s="1357"/>
      <c r="AC6" s="1358"/>
    </row>
    <row r="7" spans="1:29" x14ac:dyDescent="0.35">
      <c r="B7" s="1258"/>
      <c r="C7" s="1350"/>
      <c r="D7" s="293">
        <v>2018</v>
      </c>
      <c r="E7" s="1264">
        <v>2019</v>
      </c>
      <c r="F7" s="1359"/>
      <c r="G7" s="1359"/>
      <c r="H7" s="1266"/>
      <c r="I7" s="1264">
        <v>2020</v>
      </c>
      <c r="J7" s="1359"/>
      <c r="K7" s="1359"/>
      <c r="L7" s="1359"/>
      <c r="M7" s="1264">
        <v>2021</v>
      </c>
      <c r="N7" s="1359"/>
      <c r="O7" s="1359"/>
      <c r="P7" s="1359"/>
      <c r="Q7" s="1264">
        <v>2022</v>
      </c>
      <c r="R7" s="1265"/>
      <c r="S7" s="1265"/>
      <c r="T7" s="1266"/>
      <c r="U7" s="1271">
        <v>2023</v>
      </c>
      <c r="V7" s="1352"/>
      <c r="W7" s="1352"/>
      <c r="X7" s="1352"/>
      <c r="Y7" s="1270">
        <v>2024</v>
      </c>
      <c r="Z7" s="1352"/>
      <c r="AA7" s="1352"/>
      <c r="AB7" s="1272"/>
      <c r="AC7" s="301">
        <v>2025</v>
      </c>
    </row>
    <row r="8" spans="1:29" x14ac:dyDescent="0.35">
      <c r="B8" s="1274"/>
      <c r="C8" s="1351"/>
      <c r="D8" s="221" t="s">
        <v>281</v>
      </c>
      <c r="E8" s="221" t="s">
        <v>282</v>
      </c>
      <c r="F8" s="222" t="s">
        <v>283</v>
      </c>
      <c r="G8" s="222" t="s">
        <v>238</v>
      </c>
      <c r="H8" s="228" t="s">
        <v>281</v>
      </c>
      <c r="I8" s="222" t="s">
        <v>282</v>
      </c>
      <c r="J8" s="222" t="s">
        <v>283</v>
      </c>
      <c r="K8" s="222" t="s">
        <v>238</v>
      </c>
      <c r="L8" s="222" t="s">
        <v>281</v>
      </c>
      <c r="M8" s="221" t="s">
        <v>282</v>
      </c>
      <c r="N8" s="222" t="s">
        <v>283</v>
      </c>
      <c r="O8" s="222" t="s">
        <v>238</v>
      </c>
      <c r="P8" s="222" t="s">
        <v>281</v>
      </c>
      <c r="Q8" s="221" t="s">
        <v>282</v>
      </c>
      <c r="R8" s="222" t="s">
        <v>283</v>
      </c>
      <c r="S8" s="222" t="s">
        <v>238</v>
      </c>
      <c r="T8" s="228" t="s">
        <v>281</v>
      </c>
      <c r="U8" s="326" t="s">
        <v>282</v>
      </c>
      <c r="V8" s="326" t="s">
        <v>283</v>
      </c>
      <c r="W8" s="326" t="s">
        <v>238</v>
      </c>
      <c r="X8" s="326" t="s">
        <v>281</v>
      </c>
      <c r="Y8" s="325" t="s">
        <v>282</v>
      </c>
      <c r="Z8" s="353" t="s">
        <v>283</v>
      </c>
      <c r="AA8" s="326" t="s">
        <v>238</v>
      </c>
      <c r="AB8" s="435" t="s">
        <v>281</v>
      </c>
      <c r="AC8" s="1020" t="s">
        <v>282</v>
      </c>
    </row>
    <row r="9" spans="1:29" x14ac:dyDescent="0.35">
      <c r="B9" s="567" t="s">
        <v>56</v>
      </c>
      <c r="C9" s="555" t="s">
        <v>458</v>
      </c>
      <c r="D9" s="567"/>
      <c r="E9" s="724"/>
      <c r="F9" s="724"/>
      <c r="G9" s="724"/>
      <c r="H9" s="724"/>
      <c r="I9" s="724"/>
      <c r="J9" s="317">
        <f>'Haver Pivoted'!GU45</f>
        <v>1078.0999999999999</v>
      </c>
      <c r="K9" s="317">
        <f>'Haver Pivoted'!GV45</f>
        <v>15.6</v>
      </c>
      <c r="L9" s="317">
        <f>'Haver Pivoted'!GW45</f>
        <v>5</v>
      </c>
      <c r="M9" s="317">
        <f>'Haver Pivoted'!GX45</f>
        <v>1933.7</v>
      </c>
      <c r="N9" s="317">
        <f>'Haver Pivoted'!GY45</f>
        <v>290.10000000000002</v>
      </c>
      <c r="O9" s="317">
        <f>'Haver Pivoted'!GZ45</f>
        <v>38.9</v>
      </c>
      <c r="P9" s="317">
        <f>'Haver Pivoted'!HA45</f>
        <v>14.2</v>
      </c>
      <c r="Q9" s="317">
        <f>'Haver Pivoted'!HB45</f>
        <v>0</v>
      </c>
      <c r="R9" s="317">
        <f>'Haver Pivoted'!HC45</f>
        <v>0</v>
      </c>
      <c r="S9" s="297">
        <f>'Haver Pivoted'!HD45</f>
        <v>0</v>
      </c>
      <c r="T9" s="295">
        <f>'Haver Pivoted'!HE45</f>
        <v>0</v>
      </c>
      <c r="U9" s="292"/>
      <c r="V9" s="292"/>
      <c r="W9" s="292"/>
      <c r="X9" s="292"/>
      <c r="Y9" s="292"/>
      <c r="Z9" s="292"/>
      <c r="AA9" s="292"/>
      <c r="AB9" s="292"/>
      <c r="AC9" s="224"/>
    </row>
    <row r="10" spans="1:29" x14ac:dyDescent="0.35">
      <c r="B10" s="577" t="s">
        <v>214</v>
      </c>
      <c r="C10" s="263"/>
      <c r="D10" s="577"/>
      <c r="E10" s="263"/>
      <c r="F10" s="263"/>
      <c r="G10" s="263"/>
      <c r="H10" s="263"/>
      <c r="I10" s="263"/>
      <c r="J10" s="626"/>
      <c r="K10" s="626"/>
      <c r="L10" s="626"/>
      <c r="M10" s="626">
        <f t="shared" ref="M10:T10" si="0">M9-M11</f>
        <v>1348.1</v>
      </c>
      <c r="N10" s="626">
        <f t="shared" si="0"/>
        <v>290.10000000000002</v>
      </c>
      <c r="O10" s="626">
        <f t="shared" si="0"/>
        <v>38.9</v>
      </c>
      <c r="P10" s="626">
        <f t="shared" si="0"/>
        <v>14.2</v>
      </c>
      <c r="Q10" s="626">
        <f t="shared" si="0"/>
        <v>0</v>
      </c>
      <c r="R10" s="626">
        <f t="shared" si="0"/>
        <v>0</v>
      </c>
      <c r="S10" s="1018">
        <f t="shared" si="0"/>
        <v>0</v>
      </c>
      <c r="T10" s="1021">
        <f t="shared" si="0"/>
        <v>0</v>
      </c>
      <c r="U10" s="1016"/>
      <c r="V10" s="1016"/>
      <c r="W10" s="1016"/>
      <c r="X10" s="1016"/>
      <c r="Y10" s="1016"/>
      <c r="Z10" s="1016"/>
      <c r="AA10" s="1016"/>
      <c r="AB10" s="1016"/>
      <c r="AC10" s="1017"/>
    </row>
    <row r="11" spans="1:29" x14ac:dyDescent="0.35">
      <c r="B11" s="544" t="s">
        <v>459</v>
      </c>
      <c r="C11" s="545"/>
      <c r="D11" s="544"/>
      <c r="E11" s="545"/>
      <c r="F11" s="545"/>
      <c r="G11" s="545"/>
      <c r="H11" s="545"/>
      <c r="I11" s="545"/>
      <c r="J11" s="646">
        <f t="shared" ref="J11:L11" si="1">J9-J10</f>
        <v>1078.0999999999999</v>
      </c>
      <c r="K11" s="646">
        <f t="shared" si="1"/>
        <v>15.6</v>
      </c>
      <c r="L11" s="646">
        <f t="shared" si="1"/>
        <v>5</v>
      </c>
      <c r="M11" s="646">
        <f>SUM(C17:D17)/12*4</f>
        <v>585.6</v>
      </c>
      <c r="N11" s="646">
        <v>0</v>
      </c>
      <c r="O11" s="646">
        <v>0</v>
      </c>
      <c r="P11" s="646">
        <v>0</v>
      </c>
      <c r="Q11" s="646">
        <v>0</v>
      </c>
      <c r="R11" s="646">
        <v>0</v>
      </c>
      <c r="S11" s="646">
        <v>0</v>
      </c>
      <c r="T11" s="1019"/>
      <c r="U11" s="1023"/>
      <c r="V11" s="1023"/>
      <c r="W11" s="1023"/>
      <c r="X11" s="1023"/>
      <c r="Y11" s="1023"/>
      <c r="Z11" s="1023"/>
      <c r="AA11" s="1023"/>
      <c r="AB11" s="1023"/>
      <c r="AC11" s="1011"/>
    </row>
    <row r="12" spans="1:29" x14ac:dyDescent="0.35">
      <c r="B12" s="245"/>
      <c r="C12" s="245"/>
      <c r="D12" s="245"/>
      <c r="E12" s="245"/>
      <c r="F12" s="245"/>
      <c r="G12" s="245"/>
      <c r="H12" s="245"/>
      <c r="I12" s="245"/>
      <c r="J12" s="245"/>
      <c r="K12" s="245"/>
      <c r="L12" s="245"/>
      <c r="M12" s="245"/>
      <c r="N12" s="245"/>
      <c r="O12" s="245"/>
      <c r="P12" s="245"/>
      <c r="Q12" s="245"/>
      <c r="R12" s="245"/>
      <c r="S12" s="245"/>
      <c r="T12" s="245"/>
      <c r="U12" s="245"/>
      <c r="V12" s="245"/>
      <c r="W12" s="245"/>
      <c r="X12" s="245"/>
      <c r="Y12" s="245"/>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0"/>
      <c r="B15" s="1445" t="s">
        <v>460</v>
      </c>
      <c r="C15" s="1435">
        <v>2021</v>
      </c>
      <c r="D15" s="1436"/>
      <c r="E15" s="1436"/>
      <c r="F15" s="1436"/>
      <c r="G15" s="67"/>
      <c r="K15" s="1405"/>
      <c r="L15" s="1405"/>
      <c r="M15" s="56"/>
      <c r="N15" s="56"/>
    </row>
    <row r="16" spans="1:29" x14ac:dyDescent="0.35">
      <c r="B16" s="1446"/>
      <c r="C16" s="1013" t="s">
        <v>234</v>
      </c>
      <c r="D16" s="992" t="s">
        <v>235</v>
      </c>
      <c r="E16" s="992" t="s">
        <v>236</v>
      </c>
      <c r="F16" s="992" t="s">
        <v>237</v>
      </c>
      <c r="G16" s="1022"/>
      <c r="H16" s="210"/>
      <c r="I16" s="210"/>
      <c r="J16" s="210"/>
      <c r="K16" s="210"/>
      <c r="L16" s="210"/>
      <c r="M16" s="210"/>
      <c r="N16" s="210"/>
    </row>
    <row r="17" spans="2:29" ht="16.399999999999999" customHeight="1" x14ac:dyDescent="0.35">
      <c r="B17" s="1012" t="s">
        <v>461</v>
      </c>
      <c r="C17" s="1014">
        <v>1660.9</v>
      </c>
      <c r="D17" s="1014">
        <v>95.9</v>
      </c>
      <c r="E17" s="1014">
        <v>4044.2</v>
      </c>
      <c r="F17" s="1015">
        <v>688</v>
      </c>
      <c r="G17" s="158"/>
      <c r="H17" s="158"/>
      <c r="I17" s="158"/>
      <c r="J17" s="158"/>
      <c r="K17" s="158"/>
      <c r="L17" s="158"/>
      <c r="M17" s="245"/>
      <c r="N17" s="245"/>
    </row>
    <row r="18" spans="2:29" x14ac:dyDescent="0.35">
      <c r="B18" s="978" t="s">
        <v>462</v>
      </c>
      <c r="C18" s="245"/>
      <c r="D18" s="245"/>
      <c r="E18" s="245"/>
      <c r="F18" s="245"/>
      <c r="G18" s="245"/>
      <c r="H18" s="245"/>
      <c r="I18" s="245"/>
      <c r="J18" s="245"/>
      <c r="K18" s="245"/>
      <c r="L18" s="245"/>
      <c r="M18" s="245"/>
      <c r="N18" s="245"/>
    </row>
    <row r="19" spans="2:29" x14ac:dyDescent="0.35">
      <c r="B19" s="245"/>
      <c r="C19" s="245"/>
      <c r="D19" s="245"/>
      <c r="E19" s="245"/>
      <c r="F19" s="245"/>
      <c r="G19" s="245"/>
      <c r="H19" s="245"/>
      <c r="I19" s="245"/>
      <c r="J19" s="245"/>
      <c r="K19" s="245"/>
      <c r="L19" s="245"/>
      <c r="M19" s="245"/>
      <c r="N19" s="245"/>
    </row>
    <row r="20" spans="2:29" x14ac:dyDescent="0.35">
      <c r="B20" s="978"/>
      <c r="C20" s="245"/>
      <c r="D20" s="245"/>
      <c r="E20" s="245"/>
      <c r="F20" s="245"/>
      <c r="G20" s="245"/>
      <c r="H20" s="245"/>
      <c r="I20" s="245"/>
      <c r="J20" s="245"/>
      <c r="K20" s="245"/>
      <c r="L20" s="245"/>
      <c r="M20" s="245"/>
      <c r="N20" s="245"/>
    </row>
    <row r="21" spans="2:29" x14ac:dyDescent="0.35">
      <c r="B21" s="245"/>
      <c r="C21" s="245"/>
      <c r="D21" s="245"/>
      <c r="E21" s="245"/>
      <c r="F21" s="245"/>
      <c r="G21" s="245"/>
      <c r="H21" s="245"/>
      <c r="I21" s="245"/>
      <c r="J21" s="245"/>
      <c r="K21" s="245"/>
      <c r="L21" s="245"/>
      <c r="M21" s="245"/>
      <c r="N21" s="245"/>
      <c r="O21" s="245"/>
      <c r="P21" s="245"/>
      <c r="Q21" s="245"/>
      <c r="R21" s="245"/>
      <c r="S21" s="245"/>
      <c r="T21" s="245"/>
      <c r="U21" s="245"/>
      <c r="V21" s="245"/>
      <c r="W21" s="245"/>
      <c r="X21" s="245"/>
      <c r="Y21" s="245"/>
      <c r="Z21" s="56"/>
      <c r="AA21" s="56"/>
      <c r="AB21" s="56"/>
      <c r="AC21" s="56"/>
    </row>
    <row r="22" spans="2:29" x14ac:dyDescent="0.35">
      <c r="B22" s="69"/>
      <c r="C22" s="69"/>
      <c r="D22" s="69"/>
      <c r="E22" s="69"/>
      <c r="F22" s="69"/>
      <c r="G22" s="69"/>
      <c r="H22" s="69"/>
      <c r="I22" s="69"/>
      <c r="J22" s="69"/>
      <c r="K22" s="69"/>
      <c r="L22" s="70"/>
      <c r="M22" s="70"/>
      <c r="N22" s="70"/>
    </row>
    <row r="23" spans="2:29" x14ac:dyDescent="0.35">
      <c r="B23" s="245"/>
      <c r="C23" s="245"/>
      <c r="D23" s="245"/>
      <c r="E23" s="245"/>
      <c r="F23" s="245"/>
      <c r="G23" s="245"/>
      <c r="H23" s="245"/>
      <c r="I23" s="245"/>
      <c r="J23" s="245"/>
      <c r="K23" s="245"/>
      <c r="L23" s="245"/>
      <c r="M23" s="245"/>
      <c r="N23" s="245"/>
      <c r="O23" s="245"/>
      <c r="P23" s="245"/>
      <c r="Q23" s="245"/>
      <c r="R23" s="245"/>
      <c r="S23" s="245"/>
      <c r="T23" s="245"/>
      <c r="U23" s="245"/>
      <c r="V23" s="245"/>
      <c r="W23" s="245"/>
      <c r="X23" s="245"/>
      <c r="Y23" s="245"/>
    </row>
    <row r="24" spans="2:29" x14ac:dyDescent="0.35">
      <c r="B24" s="245"/>
      <c r="C24" s="245"/>
      <c r="D24" s="245"/>
      <c r="E24" s="245"/>
      <c r="F24" s="245"/>
      <c r="G24" s="245"/>
      <c r="H24" s="245"/>
      <c r="I24" s="245"/>
      <c r="J24" s="245"/>
      <c r="K24" s="245"/>
      <c r="L24" s="245"/>
      <c r="M24" s="245"/>
      <c r="N24" s="245"/>
      <c r="O24" s="245"/>
      <c r="P24" s="245"/>
      <c r="Q24" s="245"/>
      <c r="R24" s="245"/>
      <c r="S24" s="245"/>
      <c r="T24" s="245"/>
      <c r="U24" s="245"/>
      <c r="V24" s="245"/>
      <c r="W24" s="245"/>
      <c r="X24" s="245"/>
      <c r="Y24" s="245"/>
    </row>
    <row r="25" spans="2:29" x14ac:dyDescent="0.35">
      <c r="B25" s="245"/>
      <c r="C25" s="245"/>
      <c r="D25" s="245"/>
      <c r="E25" s="245"/>
      <c r="F25" s="245"/>
      <c r="G25" s="245"/>
      <c r="H25" s="245"/>
      <c r="I25" s="245"/>
      <c r="J25" s="245"/>
      <c r="K25" s="245"/>
      <c r="L25" s="245"/>
      <c r="M25" s="245"/>
      <c r="N25" s="245"/>
      <c r="O25" s="245"/>
      <c r="P25" s="245"/>
      <c r="Q25" s="245"/>
      <c r="R25" s="245"/>
      <c r="S25" s="245"/>
      <c r="T25" s="245"/>
      <c r="U25" s="245"/>
      <c r="V25" s="245"/>
      <c r="W25" s="245"/>
      <c r="X25" s="245"/>
      <c r="Y25" s="245"/>
    </row>
    <row r="26" spans="2:29" x14ac:dyDescent="0.35">
      <c r="B26" s="245"/>
      <c r="C26" s="245"/>
      <c r="D26" s="245"/>
      <c r="E26" s="245"/>
      <c r="F26" s="245"/>
      <c r="G26" s="245"/>
      <c r="H26" s="245"/>
      <c r="I26" s="245"/>
      <c r="J26" s="245"/>
      <c r="K26" s="245"/>
      <c r="L26" s="245"/>
      <c r="M26" s="245"/>
      <c r="N26" s="245"/>
      <c r="O26" s="245"/>
      <c r="P26" s="245"/>
      <c r="Q26" s="245"/>
      <c r="R26" s="245"/>
      <c r="S26" s="245"/>
      <c r="T26" s="245"/>
      <c r="U26" s="245"/>
      <c r="V26" s="245"/>
      <c r="W26" s="245"/>
      <c r="X26" s="245"/>
      <c r="Y26" s="245"/>
    </row>
    <row r="27" spans="2:29" x14ac:dyDescent="0.35">
      <c r="B27" s="245"/>
      <c r="C27" s="245"/>
      <c r="D27" s="245"/>
      <c r="E27" s="245"/>
      <c r="F27" s="245"/>
      <c r="G27" s="245"/>
      <c r="H27" s="245"/>
      <c r="I27" s="245"/>
      <c r="J27" s="245"/>
      <c r="K27" s="245"/>
      <c r="L27" s="245"/>
      <c r="M27" s="245"/>
      <c r="N27" s="245"/>
      <c r="O27" s="245"/>
      <c r="P27" s="245"/>
      <c r="Q27" s="245"/>
      <c r="R27" s="245"/>
      <c r="S27" s="245"/>
      <c r="T27" s="245"/>
      <c r="U27" s="245"/>
      <c r="V27" s="245"/>
      <c r="W27" s="245"/>
      <c r="X27" s="245"/>
      <c r="Y27" s="245"/>
    </row>
    <row r="28" spans="2:29" x14ac:dyDescent="0.35">
      <c r="B28" s="245"/>
      <c r="C28" s="245"/>
      <c r="D28" s="245"/>
      <c r="E28" s="245"/>
      <c r="F28" s="245"/>
      <c r="G28" s="245"/>
      <c r="H28" s="245"/>
      <c r="I28" s="245"/>
      <c r="J28" s="245"/>
      <c r="K28" s="245"/>
      <c r="L28" s="245"/>
      <c r="M28" s="245"/>
      <c r="N28" s="245"/>
      <c r="O28" s="245"/>
      <c r="P28" s="245"/>
      <c r="Q28" s="245"/>
      <c r="R28" s="245"/>
      <c r="S28" s="245"/>
      <c r="T28" s="245"/>
      <c r="U28" s="245"/>
      <c r="V28" s="245"/>
      <c r="W28" s="245"/>
      <c r="X28" s="245"/>
      <c r="Y28" s="245"/>
    </row>
    <row r="29" spans="2:29" x14ac:dyDescent="0.35">
      <c r="B29" s="245"/>
      <c r="C29" s="245"/>
      <c r="D29" s="245"/>
      <c r="E29" s="245"/>
      <c r="F29" s="245"/>
      <c r="G29" s="245"/>
      <c r="H29" s="245"/>
      <c r="I29" s="245"/>
      <c r="J29" s="245"/>
      <c r="K29" s="245"/>
      <c r="L29" s="245"/>
      <c r="M29" s="245"/>
      <c r="N29" s="245"/>
      <c r="O29" s="245"/>
      <c r="P29" s="245"/>
      <c r="Q29" s="245"/>
      <c r="R29" s="245"/>
      <c r="S29" s="245"/>
      <c r="T29" s="245"/>
      <c r="U29" s="245"/>
      <c r="V29" s="245"/>
      <c r="W29" s="245"/>
      <c r="X29" s="245"/>
      <c r="Y29" s="245"/>
    </row>
    <row r="30" spans="2:29" x14ac:dyDescent="0.35">
      <c r="B30" s="245"/>
      <c r="C30" s="245"/>
      <c r="D30" s="245"/>
      <c r="E30" s="245"/>
      <c r="F30" s="245"/>
      <c r="G30" s="245"/>
      <c r="H30" s="245"/>
      <c r="I30" s="245"/>
      <c r="J30" s="245"/>
      <c r="K30" s="245"/>
      <c r="L30" s="245"/>
      <c r="M30" s="245"/>
      <c r="N30" s="245"/>
      <c r="O30" s="245"/>
      <c r="P30" s="245"/>
      <c r="Q30" s="245"/>
      <c r="R30" s="245"/>
      <c r="S30" s="245"/>
      <c r="T30" s="245"/>
      <c r="U30" s="245"/>
      <c r="V30" s="245"/>
      <c r="W30" s="245"/>
      <c r="X30" s="245"/>
      <c r="Y30" s="245"/>
    </row>
    <row r="31" spans="2:29" x14ac:dyDescent="0.35">
      <c r="B31" s="245"/>
      <c r="C31" s="245"/>
      <c r="D31" s="245"/>
      <c r="E31" s="245"/>
      <c r="F31" s="245"/>
      <c r="G31" s="245"/>
      <c r="H31" s="245"/>
      <c r="I31" s="245"/>
      <c r="J31" s="245"/>
      <c r="K31" s="245"/>
      <c r="L31" s="245"/>
      <c r="M31" s="245"/>
      <c r="N31" s="245"/>
      <c r="O31" s="245"/>
      <c r="P31" s="245"/>
      <c r="Q31" s="245"/>
      <c r="R31" s="245"/>
      <c r="S31" s="245"/>
      <c r="T31" s="245"/>
      <c r="U31" s="245"/>
      <c r="V31" s="245"/>
      <c r="W31" s="245"/>
      <c r="X31" s="245"/>
      <c r="Y31" s="245"/>
    </row>
    <row r="32" spans="2:29" x14ac:dyDescent="0.35">
      <c r="B32" s="245"/>
      <c r="C32" s="245"/>
      <c r="D32" s="245"/>
      <c r="E32" s="245"/>
      <c r="F32" s="245"/>
      <c r="G32" s="245"/>
      <c r="H32" s="245"/>
      <c r="I32" s="245"/>
      <c r="J32" s="245"/>
      <c r="K32" s="245"/>
      <c r="L32" s="245"/>
      <c r="M32" s="245"/>
      <c r="N32" s="245"/>
      <c r="O32" s="245"/>
      <c r="P32" s="245"/>
      <c r="Q32" s="245"/>
      <c r="R32" s="245"/>
      <c r="S32" s="245"/>
      <c r="T32" s="245"/>
      <c r="U32" s="245"/>
      <c r="V32" s="245"/>
      <c r="W32" s="245"/>
      <c r="X32" s="245"/>
      <c r="Y32" s="245"/>
    </row>
    <row r="33" spans="2:25" x14ac:dyDescent="0.35">
      <c r="B33" s="245"/>
      <c r="C33" s="245"/>
      <c r="D33" s="245"/>
      <c r="E33" s="245"/>
      <c r="F33" s="245"/>
      <c r="G33" s="245"/>
      <c r="H33" s="245"/>
      <c r="I33" s="245"/>
      <c r="J33" s="245"/>
      <c r="K33" s="245"/>
      <c r="L33" s="245"/>
      <c r="M33" s="245"/>
      <c r="N33" s="245"/>
      <c r="O33" s="245"/>
      <c r="P33" s="245"/>
      <c r="Q33" s="245"/>
      <c r="R33" s="245"/>
      <c r="S33" s="245"/>
      <c r="T33" s="245"/>
      <c r="U33" s="245"/>
      <c r="V33" s="245"/>
      <c r="W33" s="245"/>
      <c r="X33" s="245"/>
      <c r="Y33" s="245"/>
    </row>
    <row r="34" spans="2:25" x14ac:dyDescent="0.35">
      <c r="B34" s="245"/>
      <c r="C34" s="245"/>
      <c r="D34" s="245"/>
      <c r="E34" s="245"/>
      <c r="F34" s="245"/>
      <c r="G34" s="245"/>
      <c r="H34" s="245"/>
      <c r="I34" s="245"/>
      <c r="J34" s="245"/>
      <c r="K34" s="245"/>
      <c r="L34" s="245"/>
      <c r="M34" s="245"/>
      <c r="N34" s="245"/>
      <c r="O34" s="245"/>
      <c r="P34" s="245"/>
      <c r="Q34" s="245"/>
      <c r="R34" s="245"/>
      <c r="S34" s="245"/>
      <c r="T34" s="245"/>
      <c r="U34" s="245"/>
      <c r="V34" s="245"/>
      <c r="W34" s="245"/>
      <c r="X34" s="245"/>
      <c r="Y34" s="245"/>
    </row>
    <row r="35" spans="2:25" x14ac:dyDescent="0.35">
      <c r="B35" s="245"/>
      <c r="C35" s="245"/>
      <c r="D35" s="245"/>
      <c r="E35" s="245"/>
      <c r="F35" s="245"/>
      <c r="G35" s="245"/>
      <c r="H35" s="245"/>
      <c r="I35" s="245"/>
      <c r="J35" s="245"/>
      <c r="K35" s="245"/>
      <c r="L35" s="245"/>
      <c r="M35" s="245"/>
      <c r="N35" s="245"/>
      <c r="O35" s="245"/>
      <c r="P35" s="245"/>
      <c r="Q35" s="245"/>
      <c r="R35" s="245"/>
      <c r="S35" s="245"/>
      <c r="T35" s="245"/>
      <c r="U35" s="245"/>
      <c r="V35" s="245"/>
      <c r="W35" s="245"/>
      <c r="X35" s="245"/>
      <c r="Y35" s="245"/>
    </row>
    <row r="36" spans="2:25" x14ac:dyDescent="0.35">
      <c r="B36" s="245"/>
      <c r="C36" s="245"/>
      <c r="D36" s="245"/>
      <c r="E36" s="245"/>
      <c r="F36" s="245"/>
      <c r="G36" s="245"/>
      <c r="H36" s="245"/>
      <c r="I36" s="245"/>
      <c r="J36" s="245"/>
      <c r="K36" s="245"/>
      <c r="L36" s="245"/>
      <c r="M36" s="245"/>
      <c r="N36" s="245"/>
      <c r="O36" s="245"/>
      <c r="P36" s="245"/>
      <c r="Q36" s="245"/>
      <c r="R36" s="245"/>
      <c r="S36" s="245"/>
      <c r="T36" s="245"/>
      <c r="U36" s="245"/>
      <c r="V36" s="245"/>
      <c r="W36" s="245"/>
      <c r="X36" s="245"/>
      <c r="Y36" s="245"/>
    </row>
    <row r="37" spans="2:25" x14ac:dyDescent="0.35">
      <c r="B37" s="245"/>
      <c r="C37" s="245"/>
      <c r="D37" s="245"/>
      <c r="E37" s="245"/>
      <c r="F37" s="245"/>
      <c r="G37" s="245"/>
      <c r="H37" s="245"/>
      <c r="I37" s="245"/>
      <c r="J37" s="245"/>
      <c r="K37" s="245"/>
      <c r="L37" s="245"/>
      <c r="M37" s="245"/>
      <c r="N37" s="245"/>
      <c r="O37" s="245"/>
      <c r="P37" s="245"/>
      <c r="Q37" s="245"/>
      <c r="R37" s="245"/>
      <c r="S37" s="245"/>
      <c r="T37" s="245"/>
      <c r="U37" s="245"/>
      <c r="V37" s="245"/>
      <c r="W37" s="245"/>
      <c r="X37" s="245"/>
      <c r="Y37" s="245"/>
    </row>
    <row r="38" spans="2:25" x14ac:dyDescent="0.35">
      <c r="B38" s="245"/>
      <c r="C38" s="245"/>
      <c r="D38" s="245"/>
      <c r="E38" s="245"/>
      <c r="F38" s="245"/>
      <c r="G38" s="245"/>
      <c r="H38" s="245"/>
      <c r="I38" s="245"/>
      <c r="J38" s="245"/>
      <c r="K38" s="245"/>
      <c r="L38" s="245"/>
      <c r="M38" s="245"/>
      <c r="N38" s="245"/>
      <c r="O38" s="245"/>
      <c r="P38" s="245"/>
      <c r="Q38" s="245"/>
      <c r="R38" s="245"/>
      <c r="S38" s="245"/>
      <c r="T38" s="245"/>
      <c r="U38" s="245"/>
      <c r="V38" s="245"/>
      <c r="W38" s="245"/>
      <c r="X38" s="245"/>
      <c r="Y38" s="245"/>
    </row>
    <row r="39" spans="2:25" x14ac:dyDescent="0.35">
      <c r="B39" s="245"/>
      <c r="C39" s="245"/>
      <c r="D39" s="245"/>
      <c r="E39" s="245"/>
      <c r="F39" s="245"/>
      <c r="G39" s="245"/>
      <c r="H39" s="245"/>
      <c r="I39" s="245"/>
      <c r="J39" s="245"/>
      <c r="K39" s="245"/>
      <c r="L39" s="245"/>
      <c r="M39" s="245"/>
      <c r="N39" s="245"/>
      <c r="O39" s="245"/>
      <c r="P39" s="245"/>
      <c r="Q39" s="245"/>
      <c r="R39" s="245"/>
      <c r="S39" s="245"/>
      <c r="T39" s="245"/>
      <c r="U39" s="245"/>
      <c r="V39" s="245"/>
      <c r="W39" s="245"/>
      <c r="X39" s="245"/>
      <c r="Y39" s="245"/>
    </row>
    <row r="40" spans="2:25" x14ac:dyDescent="0.35">
      <c r="B40" s="245"/>
      <c r="C40" s="245"/>
      <c r="D40" s="245"/>
      <c r="E40" s="245"/>
      <c r="F40" s="245"/>
      <c r="G40" s="245"/>
      <c r="H40" s="245"/>
      <c r="I40" s="245"/>
      <c r="J40" s="245"/>
      <c r="K40" s="245"/>
      <c r="L40" s="245"/>
      <c r="M40" s="245"/>
      <c r="N40" s="245"/>
      <c r="O40" s="245"/>
      <c r="P40" s="245"/>
      <c r="Q40" s="245"/>
      <c r="R40" s="245"/>
      <c r="S40" s="245"/>
      <c r="T40" s="245"/>
      <c r="U40" s="245"/>
      <c r="V40" s="245"/>
      <c r="W40" s="245"/>
      <c r="X40" s="245"/>
      <c r="Y40" s="245"/>
    </row>
    <row r="41" spans="2:25" x14ac:dyDescent="0.35">
      <c r="B41" s="245"/>
      <c r="C41" s="245"/>
      <c r="D41" s="245"/>
      <c r="E41" s="245"/>
      <c r="F41" s="245"/>
      <c r="G41" s="245"/>
      <c r="H41" s="245"/>
      <c r="I41" s="245"/>
      <c r="J41" s="245"/>
      <c r="K41" s="245"/>
      <c r="L41" s="245"/>
      <c r="M41" s="245"/>
      <c r="N41" s="245"/>
      <c r="O41" s="245"/>
      <c r="P41" s="245"/>
      <c r="Q41" s="245"/>
      <c r="R41" s="245"/>
      <c r="S41" s="245"/>
      <c r="T41" s="245"/>
      <c r="U41" s="245"/>
      <c r="V41" s="245"/>
      <c r="W41" s="245"/>
      <c r="X41" s="245"/>
      <c r="Y41" s="245"/>
    </row>
    <row r="42" spans="2:25" x14ac:dyDescent="0.35">
      <c r="B42" s="245"/>
      <c r="C42" s="245"/>
      <c r="D42" s="245"/>
      <c r="E42" s="245"/>
      <c r="F42" s="245"/>
      <c r="G42" s="245"/>
      <c r="H42" s="245"/>
      <c r="I42" s="245"/>
      <c r="J42" s="245"/>
      <c r="K42" s="245"/>
      <c r="L42" s="245"/>
      <c r="M42" s="245"/>
      <c r="N42" s="245"/>
      <c r="O42" s="245"/>
      <c r="P42" s="245"/>
      <c r="Q42" s="245"/>
      <c r="R42" s="245"/>
      <c r="S42" s="245"/>
      <c r="T42" s="245"/>
      <c r="U42" s="245"/>
      <c r="V42" s="245"/>
      <c r="W42" s="245"/>
      <c r="X42" s="245"/>
      <c r="Y42" s="245"/>
    </row>
    <row r="43" spans="2:25" x14ac:dyDescent="0.35">
      <c r="B43" s="245"/>
      <c r="C43" s="245"/>
      <c r="D43" s="245"/>
      <c r="E43" s="245"/>
      <c r="F43" s="245"/>
      <c r="G43" s="245"/>
      <c r="H43" s="245"/>
      <c r="I43" s="245"/>
      <c r="J43" s="245"/>
      <c r="K43" s="245"/>
      <c r="L43" s="245"/>
      <c r="M43" s="245"/>
      <c r="N43" s="245"/>
      <c r="O43" s="245"/>
      <c r="P43" s="245"/>
      <c r="Q43" s="245"/>
      <c r="R43" s="245"/>
      <c r="S43" s="245"/>
      <c r="T43" s="245"/>
      <c r="U43" s="245"/>
      <c r="V43" s="245"/>
      <c r="W43" s="245"/>
      <c r="X43" s="245"/>
      <c r="Y43" s="245"/>
    </row>
    <row r="44" spans="2:25" x14ac:dyDescent="0.35">
      <c r="B44" s="245"/>
      <c r="C44" s="245"/>
      <c r="D44" s="245"/>
      <c r="E44" s="245"/>
      <c r="F44" s="245"/>
      <c r="G44" s="245"/>
      <c r="H44" s="245"/>
      <c r="I44" s="245"/>
      <c r="J44" s="245"/>
      <c r="K44" s="245"/>
      <c r="L44" s="245"/>
      <c r="M44" s="245"/>
      <c r="N44" s="245"/>
      <c r="O44" s="245"/>
      <c r="P44" s="245"/>
      <c r="Q44" s="245"/>
      <c r="R44" s="245"/>
      <c r="S44" s="245"/>
      <c r="T44" s="245"/>
      <c r="U44" s="245"/>
      <c r="V44" s="245"/>
      <c r="W44" s="245"/>
      <c r="X44" s="245"/>
      <c r="Y44" s="245"/>
    </row>
    <row r="45" spans="2:25" x14ac:dyDescent="0.35">
      <c r="B45" s="245"/>
      <c r="C45" s="245"/>
      <c r="D45" s="245"/>
      <c r="E45" s="245"/>
      <c r="F45" s="245"/>
      <c r="G45" s="245"/>
      <c r="H45" s="245"/>
      <c r="I45" s="245"/>
      <c r="J45" s="245"/>
      <c r="K45" s="245"/>
      <c r="L45" s="245"/>
      <c r="M45" s="245"/>
      <c r="N45" s="245"/>
      <c r="O45" s="245"/>
      <c r="P45" s="245"/>
      <c r="Q45" s="245"/>
      <c r="R45" s="245"/>
      <c r="S45" s="245"/>
      <c r="T45" s="245"/>
      <c r="U45" s="245"/>
      <c r="V45" s="245"/>
      <c r="W45" s="245"/>
      <c r="X45" s="245"/>
      <c r="Y45" s="245"/>
    </row>
    <row r="46" spans="2:25" x14ac:dyDescent="0.35">
      <c r="B46" s="245"/>
      <c r="C46" s="245"/>
      <c r="D46" s="245"/>
      <c r="E46" s="245"/>
      <c r="F46" s="245"/>
      <c r="G46" s="245"/>
      <c r="H46" s="245"/>
      <c r="I46" s="245"/>
      <c r="J46" s="245"/>
      <c r="K46" s="245"/>
      <c r="L46" s="245"/>
      <c r="M46" s="245"/>
      <c r="N46" s="245"/>
      <c r="O46" s="245"/>
      <c r="P46" s="245"/>
      <c r="Q46" s="245"/>
      <c r="R46" s="245"/>
      <c r="S46" s="245"/>
      <c r="T46" s="245"/>
      <c r="U46" s="245"/>
      <c r="V46" s="245"/>
      <c r="W46" s="245"/>
      <c r="X46" s="245"/>
      <c r="Y46" s="245"/>
    </row>
    <row r="47" spans="2:25" x14ac:dyDescent="0.35">
      <c r="B47" s="245"/>
      <c r="C47" s="245"/>
      <c r="D47" s="245"/>
      <c r="E47" s="245"/>
      <c r="F47" s="245"/>
      <c r="G47" s="245"/>
      <c r="H47" s="245"/>
      <c r="I47" s="245"/>
      <c r="J47" s="245"/>
      <c r="K47" s="245"/>
      <c r="L47" s="245"/>
      <c r="M47" s="245"/>
      <c r="N47" s="245"/>
      <c r="O47" s="245"/>
      <c r="P47" s="245"/>
      <c r="Q47" s="245"/>
      <c r="R47" s="245"/>
      <c r="S47" s="245"/>
      <c r="T47" s="245"/>
      <c r="U47" s="245"/>
      <c r="V47" s="245"/>
      <c r="W47" s="245"/>
      <c r="X47" s="245"/>
      <c r="Y47" s="245"/>
    </row>
    <row r="48" spans="2:25" x14ac:dyDescent="0.35">
      <c r="B48" s="245"/>
      <c r="C48" s="245"/>
      <c r="D48" s="245"/>
      <c r="E48" s="245"/>
      <c r="F48" s="245"/>
      <c r="G48" s="245"/>
      <c r="H48" s="245"/>
      <c r="I48" s="245"/>
      <c r="J48" s="245"/>
      <c r="K48" s="245"/>
      <c r="L48" s="245"/>
      <c r="M48" s="245"/>
      <c r="N48" s="245"/>
      <c r="O48" s="245"/>
      <c r="P48" s="245"/>
      <c r="Q48" s="245"/>
      <c r="R48" s="245"/>
      <c r="S48" s="245"/>
      <c r="T48" s="245"/>
      <c r="U48" s="245"/>
      <c r="V48" s="245"/>
      <c r="W48" s="245"/>
      <c r="X48" s="245"/>
      <c r="Y48" s="245"/>
    </row>
    <row r="49" spans="2:25" x14ac:dyDescent="0.35">
      <c r="B49" s="245"/>
      <c r="C49" s="245"/>
      <c r="D49" s="245"/>
      <c r="E49" s="245"/>
      <c r="F49" s="245"/>
      <c r="G49" s="245"/>
      <c r="H49" s="245"/>
      <c r="I49" s="245"/>
      <c r="J49" s="245"/>
      <c r="K49" s="245"/>
      <c r="L49" s="245"/>
      <c r="M49" s="245"/>
      <c r="N49" s="245"/>
      <c r="O49" s="245"/>
      <c r="P49" s="245"/>
      <c r="Q49" s="245"/>
      <c r="R49" s="245"/>
      <c r="S49" s="245"/>
      <c r="T49" s="245"/>
      <c r="U49" s="245"/>
      <c r="V49" s="245"/>
      <c r="W49" s="245"/>
      <c r="X49" s="245"/>
      <c r="Y49" s="245"/>
    </row>
    <row r="50" spans="2:25" x14ac:dyDescent="0.35">
      <c r="B50" s="245"/>
      <c r="C50" s="245"/>
      <c r="D50" s="245"/>
      <c r="E50" s="245"/>
      <c r="F50" s="245"/>
      <c r="G50" s="245"/>
      <c r="H50" s="245"/>
      <c r="I50" s="245"/>
      <c r="J50" s="245"/>
      <c r="K50" s="245"/>
      <c r="L50" s="245"/>
      <c r="M50" s="245"/>
      <c r="N50" s="245"/>
      <c r="O50" s="245"/>
      <c r="P50" s="245"/>
      <c r="Q50" s="245"/>
      <c r="R50" s="245"/>
      <c r="S50" s="245"/>
      <c r="T50" s="245"/>
      <c r="U50" s="245"/>
      <c r="V50" s="245"/>
      <c r="W50" s="245"/>
      <c r="X50" s="245"/>
      <c r="Y50" s="245"/>
    </row>
    <row r="51" spans="2:25" x14ac:dyDescent="0.35">
      <c r="B51" s="245"/>
      <c r="C51" s="245"/>
      <c r="D51" s="245"/>
      <c r="E51" s="245"/>
      <c r="F51" s="245"/>
      <c r="G51" s="245"/>
      <c r="H51" s="245"/>
      <c r="I51" s="245"/>
      <c r="J51" s="245"/>
      <c r="K51" s="245"/>
      <c r="L51" s="245"/>
      <c r="M51" s="245"/>
      <c r="N51" s="245"/>
      <c r="O51" s="245"/>
      <c r="P51" s="245"/>
      <c r="Q51" s="245"/>
      <c r="R51" s="245"/>
      <c r="S51" s="245"/>
      <c r="T51" s="245"/>
      <c r="U51" s="245"/>
      <c r="V51" s="245"/>
      <c r="W51" s="245"/>
      <c r="X51" s="245"/>
      <c r="Y51" s="245"/>
    </row>
    <row r="52" spans="2:25" x14ac:dyDescent="0.35">
      <c r="B52" s="245"/>
      <c r="C52" s="245"/>
      <c r="D52" s="245"/>
      <c r="E52" s="245"/>
      <c r="F52" s="245"/>
      <c r="G52" s="245"/>
      <c r="H52" s="245"/>
      <c r="I52" s="245"/>
      <c r="J52" s="245"/>
      <c r="K52" s="245"/>
      <c r="L52" s="245"/>
      <c r="M52" s="245"/>
      <c r="N52" s="245"/>
      <c r="O52" s="245"/>
      <c r="P52" s="245"/>
      <c r="Q52" s="245"/>
      <c r="R52" s="245"/>
      <c r="S52" s="245"/>
      <c r="T52" s="245"/>
      <c r="U52" s="245"/>
      <c r="V52" s="245"/>
      <c r="W52" s="245"/>
      <c r="X52" s="245"/>
      <c r="Y52" s="245"/>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05" t="s">
        <v>519</v>
      </c>
      <c r="B3" s="245"/>
    </row>
    <row r="4" spans="1:17" x14ac:dyDescent="0.35">
      <c r="A4" s="1025" t="s">
        <v>520</v>
      </c>
      <c r="B4" s="1026"/>
      <c r="C4" s="1026"/>
    </row>
    <row r="7" spans="1:17" x14ac:dyDescent="0.35">
      <c r="A7" s="1448" t="s">
        <v>521</v>
      </c>
      <c r="B7" s="1449"/>
      <c r="C7" s="1449"/>
      <c r="D7" s="1449"/>
      <c r="E7" s="1449"/>
      <c r="F7" s="1449"/>
      <c r="G7" s="1449"/>
      <c r="H7" s="1449"/>
      <c r="I7" s="1449"/>
      <c r="J7" s="1449"/>
      <c r="K7" s="1449"/>
      <c r="L7" s="1449"/>
      <c r="M7" s="1449"/>
      <c r="N7" s="1449"/>
      <c r="O7" s="1449"/>
      <c r="P7" s="1449"/>
    </row>
    <row r="8" spans="1:17" x14ac:dyDescent="0.35">
      <c r="A8" s="367" t="s">
        <v>522</v>
      </c>
      <c r="B8" s="367"/>
      <c r="C8" s="367"/>
      <c r="D8" s="1030"/>
      <c r="E8" s="367"/>
      <c r="F8" s="367"/>
      <c r="G8" s="367"/>
      <c r="H8" s="367"/>
      <c r="I8" s="367"/>
      <c r="J8" s="367"/>
      <c r="K8" s="367"/>
      <c r="L8" s="367"/>
      <c r="M8" s="367"/>
      <c r="N8" s="367"/>
      <c r="O8" s="367"/>
      <c r="P8" s="367"/>
    </row>
    <row r="9" spans="1:17" x14ac:dyDescent="0.35">
      <c r="A9" s="245"/>
      <c r="B9" s="245"/>
      <c r="C9" s="245"/>
      <c r="D9" s="733"/>
      <c r="E9" s="245"/>
      <c r="F9" s="245"/>
      <c r="G9" s="245"/>
      <c r="H9" s="245"/>
      <c r="I9" s="245"/>
      <c r="J9" s="245"/>
      <c r="K9" s="245"/>
      <c r="L9" s="245"/>
      <c r="M9" s="245"/>
      <c r="N9" s="245"/>
      <c r="O9" s="245"/>
      <c r="P9" s="245"/>
    </row>
    <row r="10" spans="1:17" x14ac:dyDescent="0.35">
      <c r="A10" s="245"/>
      <c r="B10" s="245"/>
      <c r="C10" s="245"/>
      <c r="D10" s="733"/>
      <c r="E10" s="245"/>
      <c r="F10" s="245"/>
      <c r="G10" s="245"/>
      <c r="H10" s="245"/>
      <c r="I10" s="245"/>
      <c r="J10" s="245"/>
      <c r="K10" s="245"/>
      <c r="L10" s="245"/>
      <c r="M10" s="245"/>
      <c r="N10" s="245"/>
      <c r="O10" s="1450" t="s">
        <v>311</v>
      </c>
      <c r="P10" s="1450"/>
    </row>
    <row r="11" spans="1:17" x14ac:dyDescent="0.35">
      <c r="A11" s="245"/>
      <c r="B11" s="245"/>
      <c r="C11" s="710"/>
      <c r="D11" s="266"/>
      <c r="E11" s="710"/>
      <c r="F11" s="710"/>
      <c r="G11" s="710"/>
      <c r="H11" s="710"/>
      <c r="I11" s="710"/>
      <c r="J11" s="710"/>
      <c r="K11" s="710"/>
      <c r="L11" s="710"/>
      <c r="M11" s="710"/>
      <c r="N11" s="710"/>
      <c r="O11" s="1029" t="s">
        <v>523</v>
      </c>
      <c r="P11" s="1029" t="s">
        <v>523</v>
      </c>
    </row>
    <row r="12" spans="1:17" x14ac:dyDescent="0.35">
      <c r="A12" s="367"/>
      <c r="B12" s="367"/>
      <c r="C12" s="367"/>
      <c r="D12" s="1030">
        <v>2020</v>
      </c>
      <c r="E12" s="1030">
        <v>2021</v>
      </c>
      <c r="F12" s="1030">
        <v>2022</v>
      </c>
      <c r="G12" s="1030">
        <v>2023</v>
      </c>
      <c r="H12" s="1030">
        <v>2024</v>
      </c>
      <c r="I12" s="1030">
        <v>2025</v>
      </c>
      <c r="J12" s="1030">
        <v>2026</v>
      </c>
      <c r="K12" s="1030">
        <v>2027</v>
      </c>
      <c r="L12" s="1030">
        <v>2028</v>
      </c>
      <c r="M12" s="1030">
        <v>2029</v>
      </c>
      <c r="N12" s="1030">
        <v>2030</v>
      </c>
      <c r="O12" s="776">
        <v>2025</v>
      </c>
      <c r="P12" s="776">
        <v>2030</v>
      </c>
    </row>
    <row r="13" spans="1:17" x14ac:dyDescent="0.35">
      <c r="A13" s="710" t="s">
        <v>524</v>
      </c>
      <c r="B13" s="710"/>
      <c r="C13" s="710"/>
      <c r="D13" s="1034">
        <v>540.56299999999999</v>
      </c>
      <c r="E13" s="1034">
        <v>0</v>
      </c>
      <c r="F13" s="1034">
        <v>0</v>
      </c>
      <c r="G13" s="1034">
        <v>0</v>
      </c>
      <c r="H13" s="1034">
        <v>0</v>
      </c>
      <c r="I13" s="1034">
        <v>0</v>
      </c>
      <c r="J13" s="1034">
        <v>0</v>
      </c>
      <c r="K13" s="1034">
        <v>0</v>
      </c>
      <c r="L13" s="1034">
        <v>0</v>
      </c>
      <c r="M13" s="1034">
        <v>0</v>
      </c>
      <c r="N13" s="1034">
        <v>0</v>
      </c>
      <c r="O13" s="1034">
        <v>0</v>
      </c>
      <c r="P13" s="1034">
        <v>0</v>
      </c>
      <c r="Q13" t="s">
        <v>50</v>
      </c>
    </row>
    <row r="14" spans="1:17" x14ac:dyDescent="0.35">
      <c r="A14" s="245" t="s">
        <v>525</v>
      </c>
      <c r="B14" s="245"/>
      <c r="C14" s="245"/>
      <c r="D14" s="266"/>
      <c r="E14" s="710"/>
      <c r="F14" s="710"/>
      <c r="G14" s="710"/>
      <c r="H14" s="710"/>
      <c r="I14" s="710"/>
      <c r="J14" s="710"/>
      <c r="K14" s="710"/>
      <c r="L14" s="710"/>
      <c r="M14" s="710"/>
      <c r="N14" s="710"/>
      <c r="O14" s="710"/>
      <c r="P14" s="710"/>
      <c r="Q14" t="s">
        <v>526</v>
      </c>
    </row>
    <row r="15" spans="1:17" x14ac:dyDescent="0.35">
      <c r="A15" s="245"/>
      <c r="B15" s="245" t="s">
        <v>527</v>
      </c>
      <c r="C15" s="245"/>
      <c r="D15" s="266">
        <v>285.56</v>
      </c>
      <c r="E15" s="266">
        <v>5</v>
      </c>
      <c r="F15" s="266">
        <v>0</v>
      </c>
      <c r="G15" s="266">
        <v>0</v>
      </c>
      <c r="H15" s="266">
        <v>0</v>
      </c>
      <c r="I15" s="266">
        <v>0</v>
      </c>
      <c r="J15" s="266">
        <v>0</v>
      </c>
      <c r="K15" s="266">
        <v>0</v>
      </c>
      <c r="L15" s="266">
        <v>0</v>
      </c>
      <c r="M15" s="266">
        <v>0</v>
      </c>
      <c r="N15" s="266">
        <v>0</v>
      </c>
      <c r="O15" s="266">
        <v>5</v>
      </c>
      <c r="P15" s="266">
        <v>5</v>
      </c>
    </row>
    <row r="16" spans="1:17" x14ac:dyDescent="0.35">
      <c r="A16" s="710"/>
      <c r="B16" s="245" t="s">
        <v>528</v>
      </c>
      <c r="C16" s="710"/>
      <c r="D16" s="266">
        <v>67.209999999999994</v>
      </c>
      <c r="E16" s="266">
        <v>13.68</v>
      </c>
      <c r="F16" s="266">
        <v>0</v>
      </c>
      <c r="G16" s="266">
        <v>0</v>
      </c>
      <c r="H16" s="266">
        <v>0</v>
      </c>
      <c r="I16" s="266">
        <v>0</v>
      </c>
      <c r="J16" s="266">
        <v>0</v>
      </c>
      <c r="K16" s="266">
        <v>0</v>
      </c>
      <c r="L16" s="266">
        <v>0</v>
      </c>
      <c r="M16" s="266">
        <v>0</v>
      </c>
      <c r="N16" s="266">
        <v>0</v>
      </c>
      <c r="O16" s="266">
        <v>13.68</v>
      </c>
      <c r="P16" s="266">
        <v>13.68</v>
      </c>
    </row>
    <row r="17" spans="1:17" x14ac:dyDescent="0.35">
      <c r="A17" s="710"/>
      <c r="B17" s="245" t="s">
        <v>529</v>
      </c>
      <c r="C17" s="710"/>
      <c r="D17" s="266">
        <v>11.12</v>
      </c>
      <c r="E17" s="266">
        <v>47.8</v>
      </c>
      <c r="F17" s="266">
        <v>0</v>
      </c>
      <c r="G17" s="266">
        <v>0</v>
      </c>
      <c r="H17" s="266">
        <v>0</v>
      </c>
      <c r="I17" s="266">
        <v>0</v>
      </c>
      <c r="J17" s="266">
        <v>0</v>
      </c>
      <c r="K17" s="266">
        <v>0</v>
      </c>
      <c r="L17" s="266">
        <v>0</v>
      </c>
      <c r="M17" s="266">
        <v>0</v>
      </c>
      <c r="N17" s="266">
        <v>0</v>
      </c>
      <c r="O17" s="266">
        <v>47.8</v>
      </c>
      <c r="P17" s="266">
        <v>47.8</v>
      </c>
    </row>
    <row r="18" spans="1:17" x14ac:dyDescent="0.35">
      <c r="A18" s="710"/>
      <c r="B18" s="245" t="s">
        <v>530</v>
      </c>
      <c r="C18" s="710"/>
      <c r="D18" s="266">
        <v>6.2149999999999999</v>
      </c>
      <c r="E18" s="266">
        <v>5.0049999999999999</v>
      </c>
      <c r="F18" s="266">
        <v>0</v>
      </c>
      <c r="G18" s="266">
        <v>0</v>
      </c>
      <c r="H18" s="266">
        <v>0</v>
      </c>
      <c r="I18" s="266">
        <v>0</v>
      </c>
      <c r="J18" s="266">
        <v>0</v>
      </c>
      <c r="K18" s="266">
        <v>0</v>
      </c>
      <c r="L18" s="266">
        <v>0</v>
      </c>
      <c r="M18" s="266">
        <v>0</v>
      </c>
      <c r="N18" s="266">
        <v>0</v>
      </c>
      <c r="O18" s="266">
        <v>5.0049999999999999</v>
      </c>
      <c r="P18" s="266">
        <v>5.0049999999999999</v>
      </c>
    </row>
    <row r="19" spans="1:17" x14ac:dyDescent="0.35">
      <c r="A19" s="710"/>
      <c r="B19" s="245"/>
      <c r="C19" s="710"/>
      <c r="D19" s="266" t="s">
        <v>531</v>
      </c>
      <c r="E19" s="266" t="s">
        <v>531</v>
      </c>
      <c r="F19" s="266" t="s">
        <v>531</v>
      </c>
      <c r="G19" s="266" t="s">
        <v>531</v>
      </c>
      <c r="H19" s="266" t="s">
        <v>531</v>
      </c>
      <c r="I19" s="266" t="s">
        <v>531</v>
      </c>
      <c r="J19" s="266" t="s">
        <v>531</v>
      </c>
      <c r="K19" s="266" t="s">
        <v>531</v>
      </c>
      <c r="L19" s="266" t="s">
        <v>531</v>
      </c>
      <c r="M19" s="266" t="s">
        <v>531</v>
      </c>
      <c r="N19" s="266" t="s">
        <v>531</v>
      </c>
      <c r="O19" s="266" t="s">
        <v>531</v>
      </c>
      <c r="P19" s="266" t="s">
        <v>531</v>
      </c>
    </row>
    <row r="20" spans="1:17" x14ac:dyDescent="0.35">
      <c r="A20" s="710"/>
      <c r="B20" s="245"/>
      <c r="C20" s="710" t="s">
        <v>532</v>
      </c>
      <c r="D20" s="266">
        <v>370.10500000000002</v>
      </c>
      <c r="E20" s="266">
        <v>71.484999999999999</v>
      </c>
      <c r="F20" s="266">
        <v>0</v>
      </c>
      <c r="G20" s="266">
        <v>0</v>
      </c>
      <c r="H20" s="266">
        <v>0</v>
      </c>
      <c r="I20" s="266">
        <v>0</v>
      </c>
      <c r="J20" s="266">
        <v>0</v>
      </c>
      <c r="K20" s="266">
        <v>0</v>
      </c>
      <c r="L20" s="266">
        <v>0</v>
      </c>
      <c r="M20" s="266">
        <v>0</v>
      </c>
      <c r="N20" s="266">
        <v>0</v>
      </c>
      <c r="O20" s="266">
        <v>71.484999999999999</v>
      </c>
      <c r="P20" s="266">
        <v>71.484999999999999</v>
      </c>
    </row>
    <row r="21" spans="1:17" x14ac:dyDescent="0.35">
      <c r="A21" s="710"/>
      <c r="B21" s="245"/>
      <c r="C21" s="710"/>
      <c r="D21" s="266"/>
      <c r="E21" s="266"/>
      <c r="F21" s="266"/>
      <c r="G21" s="266"/>
      <c r="H21" s="266"/>
      <c r="I21" s="266"/>
      <c r="J21" s="266"/>
      <c r="K21" s="266"/>
      <c r="L21" s="266"/>
      <c r="M21" s="266"/>
      <c r="N21" s="266"/>
      <c r="O21" s="266"/>
      <c r="P21" s="266"/>
    </row>
    <row r="22" spans="1:17" ht="17.149999999999999" customHeight="1" x14ac:dyDescent="0.35">
      <c r="A22" s="710" t="s">
        <v>533</v>
      </c>
      <c r="B22" s="245"/>
      <c r="C22" s="710"/>
      <c r="D22" s="266">
        <v>271.98399999999998</v>
      </c>
      <c r="E22" s="266">
        <v>9.327</v>
      </c>
      <c r="F22" s="266">
        <v>0</v>
      </c>
      <c r="G22" s="266">
        <v>0</v>
      </c>
      <c r="H22" s="266">
        <v>0</v>
      </c>
      <c r="I22" s="266">
        <v>0</v>
      </c>
      <c r="J22" s="266">
        <v>0</v>
      </c>
      <c r="K22" s="266">
        <v>0</v>
      </c>
      <c r="L22" s="266">
        <v>0</v>
      </c>
      <c r="M22" s="266">
        <v>0</v>
      </c>
      <c r="N22" s="266">
        <v>0</v>
      </c>
      <c r="O22" s="266">
        <v>9.327</v>
      </c>
      <c r="P22" s="266">
        <v>9.327</v>
      </c>
      <c r="Q22" t="s">
        <v>534</v>
      </c>
    </row>
    <row r="23" spans="1:17" x14ac:dyDescent="0.35">
      <c r="A23" s="710" t="s">
        <v>149</v>
      </c>
      <c r="B23" s="245"/>
      <c r="C23" s="245"/>
      <c r="D23" s="266">
        <v>149.97300000000001</v>
      </c>
      <c r="E23" s="266">
        <v>2.5999999999999999E-2</v>
      </c>
      <c r="F23" s="266">
        <v>0</v>
      </c>
      <c r="G23" s="266">
        <v>0</v>
      </c>
      <c r="H23" s="266">
        <v>0</v>
      </c>
      <c r="I23" s="266">
        <v>0</v>
      </c>
      <c r="J23" s="266">
        <v>0</v>
      </c>
      <c r="K23" s="266">
        <v>0</v>
      </c>
      <c r="L23" s="266">
        <v>0</v>
      </c>
      <c r="M23" s="266">
        <v>0</v>
      </c>
      <c r="N23" s="266">
        <v>0</v>
      </c>
      <c r="O23" s="266">
        <v>2.5999999999999999E-2</v>
      </c>
      <c r="P23" s="266">
        <v>2.5999999999999999E-2</v>
      </c>
      <c r="Q23" t="s">
        <v>51</v>
      </c>
    </row>
    <row r="24" spans="1:17" x14ac:dyDescent="0.35">
      <c r="A24" s="710" t="s">
        <v>535</v>
      </c>
      <c r="B24" s="245"/>
      <c r="C24" s="245"/>
      <c r="D24" s="266">
        <v>135.41999999999999</v>
      </c>
      <c r="E24" s="266">
        <v>72.537999999999997</v>
      </c>
      <c r="F24" s="266">
        <v>10.331</v>
      </c>
      <c r="G24" s="266">
        <v>4.2670000000000003</v>
      </c>
      <c r="H24" s="266">
        <v>1.347</v>
      </c>
      <c r="I24" s="266">
        <v>0.67400000000000004</v>
      </c>
      <c r="J24" s="266">
        <v>0</v>
      </c>
      <c r="K24" s="266">
        <v>0</v>
      </c>
      <c r="L24" s="266">
        <v>0</v>
      </c>
      <c r="M24" s="266">
        <v>0</v>
      </c>
      <c r="N24" s="266">
        <v>0</v>
      </c>
      <c r="O24" s="266">
        <v>89.156999999999996</v>
      </c>
      <c r="P24" s="266">
        <v>89.156999999999996</v>
      </c>
      <c r="Q24" t="s">
        <v>536</v>
      </c>
    </row>
    <row r="25" spans="1:17" x14ac:dyDescent="0.35">
      <c r="A25" s="710" t="s">
        <v>537</v>
      </c>
      <c r="B25" s="245"/>
      <c r="C25" s="245"/>
      <c r="D25" s="266"/>
      <c r="E25" s="266"/>
      <c r="F25" s="266"/>
      <c r="G25" s="266"/>
      <c r="H25" s="266"/>
      <c r="I25" s="266"/>
      <c r="J25" s="266"/>
      <c r="K25" s="266"/>
      <c r="L25" s="266"/>
      <c r="M25" s="266"/>
      <c r="N25" s="266"/>
      <c r="O25" s="266"/>
      <c r="P25" s="266"/>
    </row>
    <row r="26" spans="1:17" x14ac:dyDescent="0.35">
      <c r="A26" s="710" t="s">
        <v>538</v>
      </c>
      <c r="B26" s="245"/>
      <c r="C26" s="245"/>
      <c r="D26" s="266">
        <v>40.831000000000003</v>
      </c>
      <c r="E26" s="266">
        <v>79.391999999999996</v>
      </c>
      <c r="F26" s="266">
        <v>47.442999999999998</v>
      </c>
      <c r="G26" s="266">
        <v>4.7220000000000004</v>
      </c>
      <c r="H26" s="266">
        <v>0</v>
      </c>
      <c r="I26" s="266">
        <v>0</v>
      </c>
      <c r="J26" s="266">
        <v>0</v>
      </c>
      <c r="K26" s="266">
        <v>0</v>
      </c>
      <c r="L26" s="266">
        <v>0</v>
      </c>
      <c r="M26" s="266">
        <v>0</v>
      </c>
      <c r="N26" s="266">
        <v>0</v>
      </c>
      <c r="O26" s="266">
        <v>131.55699999999999</v>
      </c>
      <c r="P26" s="266">
        <v>131.55699999999999</v>
      </c>
      <c r="Q26" t="s">
        <v>133</v>
      </c>
    </row>
    <row r="27" spans="1:17" x14ac:dyDescent="0.35">
      <c r="A27" s="710" t="s">
        <v>539</v>
      </c>
      <c r="B27" s="245"/>
      <c r="C27" s="245"/>
      <c r="D27" s="266">
        <v>58.054000000000002</v>
      </c>
      <c r="E27" s="266">
        <v>14.755000000000001</v>
      </c>
      <c r="F27" s="266">
        <v>3.4750000000000001</v>
      </c>
      <c r="G27" s="266">
        <v>3.9249999999999998</v>
      </c>
      <c r="H27" s="266">
        <v>4.375</v>
      </c>
      <c r="I27" s="266">
        <v>4.375</v>
      </c>
      <c r="J27" s="266">
        <v>4.5</v>
      </c>
      <c r="K27" s="266">
        <v>4.5</v>
      </c>
      <c r="L27" s="266">
        <v>4.5</v>
      </c>
      <c r="M27" s="266">
        <v>4.5</v>
      </c>
      <c r="N27" s="266">
        <v>4.5</v>
      </c>
      <c r="O27" s="266">
        <v>30.905000000000001</v>
      </c>
      <c r="P27" s="266">
        <v>53.405000000000001</v>
      </c>
    </row>
    <row r="28" spans="1:17" x14ac:dyDescent="0.35">
      <c r="A28" s="710" t="s">
        <v>540</v>
      </c>
      <c r="B28" s="245"/>
      <c r="C28" s="245"/>
      <c r="D28" s="266">
        <v>47.372999999999998</v>
      </c>
      <c r="E28" s="266">
        <v>-46.081000000000003</v>
      </c>
      <c r="F28" s="266">
        <v>0</v>
      </c>
      <c r="G28" s="266">
        <v>0</v>
      </c>
      <c r="H28" s="266">
        <v>0</v>
      </c>
      <c r="I28" s="266">
        <v>0</v>
      </c>
      <c r="J28" s="266">
        <v>0</v>
      </c>
      <c r="K28" s="266">
        <v>0</v>
      </c>
      <c r="L28" s="266">
        <v>0</v>
      </c>
      <c r="M28" s="266">
        <v>0</v>
      </c>
      <c r="N28" s="266">
        <v>0</v>
      </c>
      <c r="O28" s="266">
        <v>-46.081000000000003</v>
      </c>
      <c r="P28" s="266">
        <v>-46.081000000000003</v>
      </c>
      <c r="Q28" t="s">
        <v>55</v>
      </c>
    </row>
    <row r="29" spans="1:17" x14ac:dyDescent="0.35">
      <c r="A29" s="710" t="s">
        <v>541</v>
      </c>
      <c r="B29" s="245"/>
      <c r="C29" s="245"/>
      <c r="D29" s="266">
        <v>24.475000000000001</v>
      </c>
      <c r="E29" s="266">
        <v>32.784999999999997</v>
      </c>
      <c r="F29" s="266">
        <v>8.4600000000000009</v>
      </c>
      <c r="G29" s="266">
        <v>0</v>
      </c>
      <c r="H29" s="266">
        <v>0</v>
      </c>
      <c r="I29" s="266">
        <v>0</v>
      </c>
      <c r="J29" s="266">
        <v>0</v>
      </c>
      <c r="K29" s="266">
        <v>0</v>
      </c>
      <c r="L29" s="266">
        <v>0</v>
      </c>
      <c r="M29" s="266">
        <v>0</v>
      </c>
      <c r="N29" s="266">
        <v>0</v>
      </c>
      <c r="O29" s="266">
        <v>41.244999999999997</v>
      </c>
      <c r="P29" s="266">
        <v>41.244999999999997</v>
      </c>
      <c r="Q29" t="s">
        <v>542</v>
      </c>
    </row>
    <row r="30" spans="1:17" x14ac:dyDescent="0.35">
      <c r="A30" s="710" t="s">
        <v>543</v>
      </c>
      <c r="B30" s="245"/>
      <c r="C30" s="245"/>
      <c r="D30" s="266">
        <v>27.5</v>
      </c>
      <c r="E30" s="266">
        <v>0.86</v>
      </c>
      <c r="F30" s="266">
        <v>-0.22</v>
      </c>
      <c r="G30" s="266">
        <v>-0.49</v>
      </c>
      <c r="H30" s="266">
        <v>-0.56000000000000005</v>
      </c>
      <c r="I30" s="266">
        <v>-0.98</v>
      </c>
      <c r="J30" s="266">
        <v>-0.76</v>
      </c>
      <c r="K30" s="266">
        <v>-0.74</v>
      </c>
      <c r="L30" s="266">
        <v>-0.72</v>
      </c>
      <c r="M30" s="266">
        <v>-0.7</v>
      </c>
      <c r="N30" s="266">
        <v>-0.69</v>
      </c>
      <c r="O30" s="266">
        <v>-1.39</v>
      </c>
      <c r="P30" s="266">
        <v>-5</v>
      </c>
      <c r="Q30" t="s">
        <v>52</v>
      </c>
    </row>
    <row r="31" spans="1:17" x14ac:dyDescent="0.35">
      <c r="A31" s="710" t="s">
        <v>150</v>
      </c>
      <c r="B31" s="245"/>
      <c r="C31" s="245"/>
      <c r="D31" s="266">
        <v>11.407999999999999</v>
      </c>
      <c r="E31" s="266">
        <v>10.763</v>
      </c>
      <c r="F31" s="266">
        <v>5.7809999999999997</v>
      </c>
      <c r="G31" s="266">
        <v>0.92300000000000004</v>
      </c>
      <c r="H31" s="266">
        <v>0.52300000000000002</v>
      </c>
      <c r="I31" s="266">
        <v>0.43099999999999999</v>
      </c>
      <c r="J31" s="266">
        <v>0.246</v>
      </c>
      <c r="K31" s="266">
        <v>0</v>
      </c>
      <c r="L31" s="266">
        <v>0</v>
      </c>
      <c r="M31" s="266">
        <v>0</v>
      </c>
      <c r="N31" s="266">
        <v>0</v>
      </c>
      <c r="O31" s="266">
        <v>18.420999999999999</v>
      </c>
      <c r="P31" s="266">
        <v>18.667000000000002</v>
      </c>
      <c r="Q31" t="s">
        <v>544</v>
      </c>
    </row>
    <row r="32" spans="1:17" x14ac:dyDescent="0.35">
      <c r="A32" s="710" t="s">
        <v>545</v>
      </c>
      <c r="B32" s="245"/>
      <c r="C32" s="245"/>
      <c r="D32" s="266">
        <v>99.444000000000003</v>
      </c>
      <c r="E32" s="266">
        <v>61.634</v>
      </c>
      <c r="F32" s="266">
        <v>23.815000000000001</v>
      </c>
      <c r="G32" s="266">
        <v>7.35</v>
      </c>
      <c r="H32" s="266">
        <v>4.4029999999999996</v>
      </c>
      <c r="I32" s="266">
        <v>1.663</v>
      </c>
      <c r="J32" s="266">
        <v>0.74399999999999999</v>
      </c>
      <c r="K32" s="266">
        <v>0.65500000000000003</v>
      </c>
      <c r="L32" s="266">
        <v>0.68799999999999994</v>
      </c>
      <c r="M32" s="266">
        <v>10.603</v>
      </c>
      <c r="N32" s="266">
        <v>-35.328000000000003</v>
      </c>
      <c r="O32" s="266">
        <v>98.864999999999995</v>
      </c>
      <c r="P32" s="266">
        <v>76.227000000000004</v>
      </c>
      <c r="Q32" t="s">
        <v>546</v>
      </c>
    </row>
    <row r="33" spans="1:16" x14ac:dyDescent="0.35">
      <c r="A33" s="710"/>
      <c r="B33" s="245"/>
      <c r="C33" s="245"/>
      <c r="D33" s="266"/>
      <c r="E33" s="266"/>
      <c r="F33" s="266"/>
      <c r="G33" s="266"/>
      <c r="H33" s="266"/>
      <c r="I33" s="266"/>
      <c r="J33" s="266"/>
      <c r="K33" s="266"/>
      <c r="L33" s="266"/>
      <c r="M33" s="266"/>
      <c r="N33" s="266"/>
      <c r="O33" s="266"/>
      <c r="P33" s="266"/>
    </row>
    <row r="34" spans="1:16" x14ac:dyDescent="0.35">
      <c r="A34" s="1028"/>
      <c r="B34" s="1028"/>
      <c r="C34" s="1028" t="s">
        <v>311</v>
      </c>
      <c r="D34" s="1035">
        <v>1777.13</v>
      </c>
      <c r="E34" s="1035">
        <v>307.48399999999998</v>
      </c>
      <c r="F34" s="1035">
        <v>99.084999999999994</v>
      </c>
      <c r="G34" s="1035">
        <v>20.696999999999999</v>
      </c>
      <c r="H34" s="1035">
        <v>10.087999999999999</v>
      </c>
      <c r="I34" s="1035">
        <v>6.1630000000000003</v>
      </c>
      <c r="J34" s="1035">
        <v>4.7300000000000004</v>
      </c>
      <c r="K34" s="1035">
        <v>4.415</v>
      </c>
      <c r="L34" s="1035">
        <v>4.468</v>
      </c>
      <c r="M34" s="1035">
        <v>14.403</v>
      </c>
      <c r="N34" s="1035">
        <v>-31.518000000000001</v>
      </c>
      <c r="O34" s="1035">
        <v>443.517</v>
      </c>
      <c r="P34" s="1035">
        <v>440.01499999999999</v>
      </c>
    </row>
    <row r="35" spans="1:16" x14ac:dyDescent="0.35">
      <c r="A35" s="245"/>
      <c r="B35" s="245"/>
      <c r="C35" s="245"/>
      <c r="D35" s="1027"/>
      <c r="E35" s="496"/>
      <c r="F35" s="710"/>
      <c r="G35" s="710"/>
      <c r="H35" s="710"/>
      <c r="I35" s="710"/>
      <c r="J35" s="710"/>
      <c r="K35" s="710"/>
      <c r="L35" s="710"/>
      <c r="M35" s="710"/>
      <c r="N35" s="710"/>
      <c r="O35" s="710"/>
      <c r="P35" s="710"/>
    </row>
    <row r="36" spans="1:16" x14ac:dyDescent="0.35">
      <c r="A36" s="1031" t="s">
        <v>547</v>
      </c>
      <c r="B36" s="1031"/>
      <c r="C36" s="1031"/>
      <c r="D36" s="1032"/>
      <c r="E36" s="1031"/>
      <c r="F36" s="1031"/>
      <c r="G36" s="1031"/>
      <c r="H36" s="1031"/>
      <c r="I36" s="1031"/>
      <c r="J36" s="1031"/>
      <c r="K36" s="1031"/>
      <c r="L36" s="1031"/>
      <c r="M36" s="1031"/>
      <c r="N36" s="1031"/>
      <c r="O36" s="1031"/>
      <c r="P36" s="1031"/>
    </row>
    <row r="37" spans="1:16" x14ac:dyDescent="0.35">
      <c r="A37" s="1031"/>
      <c r="B37" s="1031"/>
      <c r="C37" s="1031"/>
      <c r="D37" s="1032"/>
      <c r="E37" s="1031"/>
      <c r="F37" s="1031"/>
      <c r="G37" s="1031"/>
      <c r="H37" s="1031"/>
      <c r="I37" s="1031"/>
      <c r="J37" s="1031"/>
      <c r="K37" s="1031"/>
      <c r="L37" s="1031"/>
      <c r="M37" s="1031"/>
      <c r="N37" s="1031"/>
      <c r="O37" s="1031"/>
      <c r="P37" s="1031"/>
    </row>
    <row r="38" spans="1:16" x14ac:dyDescent="0.35">
      <c r="A38" s="1453" t="s">
        <v>548</v>
      </c>
      <c r="B38" s="1453"/>
      <c r="C38" s="1453"/>
      <c r="D38" s="1453"/>
      <c r="E38" s="1453"/>
      <c r="F38" s="1453"/>
      <c r="G38" s="1453"/>
      <c r="H38" s="1453"/>
      <c r="I38" s="1453"/>
      <c r="J38" s="1453"/>
      <c r="K38" s="1453"/>
      <c r="L38" s="1453"/>
      <c r="M38" s="1453"/>
      <c r="N38" s="1453"/>
      <c r="O38" s="1453"/>
      <c r="P38" s="1453"/>
    </row>
    <row r="39" spans="1:16" x14ac:dyDescent="0.35">
      <c r="A39" s="1453"/>
      <c r="B39" s="1453"/>
      <c r="C39" s="1453"/>
      <c r="D39" s="1453"/>
      <c r="E39" s="1453"/>
      <c r="F39" s="1453"/>
      <c r="G39" s="1453"/>
      <c r="H39" s="1453"/>
      <c r="I39" s="1453"/>
      <c r="J39" s="1453"/>
      <c r="K39" s="1453"/>
      <c r="L39" s="1453"/>
      <c r="M39" s="1453"/>
      <c r="N39" s="1453"/>
      <c r="O39" s="1453"/>
      <c r="P39" s="1453"/>
    </row>
    <row r="40" spans="1:16" x14ac:dyDescent="0.35">
      <c r="A40" s="1453"/>
      <c r="B40" s="1453"/>
      <c r="C40" s="1453"/>
      <c r="D40" s="1453"/>
      <c r="E40" s="1453"/>
      <c r="F40" s="1453"/>
      <c r="G40" s="1453"/>
      <c r="H40" s="1453"/>
      <c r="I40" s="1453"/>
      <c r="J40" s="1453"/>
      <c r="K40" s="1453"/>
      <c r="L40" s="1453"/>
      <c r="M40" s="1453"/>
      <c r="N40" s="1453"/>
      <c r="O40" s="1453"/>
      <c r="P40" s="1453"/>
    </row>
    <row r="41" spans="1:16" x14ac:dyDescent="0.35">
      <c r="A41" s="1453"/>
      <c r="B41" s="1453"/>
      <c r="C41" s="1453"/>
      <c r="D41" s="1453"/>
      <c r="E41" s="1453"/>
      <c r="F41" s="1453"/>
      <c r="G41" s="1453"/>
      <c r="H41" s="1453"/>
      <c r="I41" s="1453"/>
      <c r="J41" s="1453"/>
      <c r="K41" s="1453"/>
      <c r="L41" s="1453"/>
      <c r="M41" s="1453"/>
      <c r="N41" s="1453"/>
      <c r="O41" s="1453"/>
      <c r="P41" s="1453"/>
    </row>
    <row r="42" spans="1:16" x14ac:dyDescent="0.35">
      <c r="A42" s="1453"/>
      <c r="B42" s="1453"/>
      <c r="C42" s="1453"/>
      <c r="D42" s="1453"/>
      <c r="E42" s="1453"/>
      <c r="F42" s="1453"/>
      <c r="G42" s="1453"/>
      <c r="H42" s="1453"/>
      <c r="I42" s="1453"/>
      <c r="J42" s="1453"/>
      <c r="K42" s="1453"/>
      <c r="L42" s="1453"/>
      <c r="M42" s="1453"/>
      <c r="N42" s="1453"/>
      <c r="O42" s="1453"/>
      <c r="P42" s="1453"/>
    </row>
    <row r="43" spans="1:16" x14ac:dyDescent="0.35">
      <c r="A43" s="251"/>
      <c r="B43" s="251"/>
      <c r="C43" s="251"/>
      <c r="D43" s="251"/>
      <c r="E43" s="251"/>
      <c r="F43" s="251"/>
      <c r="G43" s="251"/>
      <c r="H43" s="251"/>
      <c r="I43" s="251"/>
      <c r="J43" s="251"/>
      <c r="K43" s="251"/>
      <c r="L43" s="251"/>
      <c r="M43" s="251"/>
      <c r="N43" s="251"/>
      <c r="O43" s="251"/>
      <c r="P43" s="251"/>
    </row>
    <row r="44" spans="1:16" x14ac:dyDescent="0.35">
      <c r="A44" s="1363" t="s">
        <v>549</v>
      </c>
      <c r="B44" s="1363"/>
      <c r="C44" s="1363"/>
      <c r="D44" s="1363"/>
      <c r="E44" s="1363"/>
      <c r="F44" s="1363"/>
      <c r="G44" s="1363"/>
      <c r="H44" s="1363"/>
      <c r="I44" s="1363"/>
      <c r="J44" s="1363"/>
      <c r="K44" s="1363"/>
      <c r="L44" s="1363"/>
      <c r="M44" s="1363"/>
      <c r="N44" s="1363"/>
      <c r="O44" s="1363"/>
      <c r="P44" s="1363"/>
    </row>
    <row r="45" spans="1:16" x14ac:dyDescent="0.35">
      <c r="A45" s="1363"/>
      <c r="B45" s="1363"/>
      <c r="C45" s="1363"/>
      <c r="D45" s="1363"/>
      <c r="E45" s="1363"/>
      <c r="F45" s="1363"/>
      <c r="G45" s="1363"/>
      <c r="H45" s="1363"/>
      <c r="I45" s="1363"/>
      <c r="J45" s="1363"/>
      <c r="K45" s="1363"/>
      <c r="L45" s="1363"/>
      <c r="M45" s="1363"/>
      <c r="N45" s="1363"/>
      <c r="O45" s="1363"/>
      <c r="P45" s="1363"/>
    </row>
    <row r="46" spans="1:16" x14ac:dyDescent="0.35">
      <c r="A46" s="1363"/>
      <c r="B46" s="1363"/>
      <c r="C46" s="1363"/>
      <c r="D46" s="1363"/>
      <c r="E46" s="1363"/>
      <c r="F46" s="1363"/>
      <c r="G46" s="1363"/>
      <c r="H46" s="1363"/>
      <c r="I46" s="1363"/>
      <c r="J46" s="1363"/>
      <c r="K46" s="1363"/>
      <c r="L46" s="1363"/>
      <c r="M46" s="1363"/>
      <c r="N46" s="1363"/>
      <c r="O46" s="1363"/>
      <c r="P46" s="1363"/>
    </row>
    <row r="47" spans="1:16" x14ac:dyDescent="0.35">
      <c r="A47" s="1031"/>
      <c r="B47" s="1031"/>
      <c r="C47" s="1031"/>
      <c r="D47" s="1032"/>
      <c r="E47" s="1031"/>
      <c r="F47" s="1031"/>
      <c r="G47" s="1031"/>
      <c r="H47" s="1031"/>
      <c r="I47" s="1031"/>
      <c r="J47" s="1031"/>
      <c r="K47" s="1031"/>
      <c r="L47" s="1031"/>
      <c r="M47" s="1031"/>
      <c r="N47" s="1031"/>
      <c r="O47" s="1031"/>
      <c r="P47" s="1031"/>
    </row>
    <row r="48" spans="1:16" x14ac:dyDescent="0.35">
      <c r="A48" s="1451" t="s">
        <v>550</v>
      </c>
      <c r="B48" s="1452"/>
      <c r="C48" s="1452"/>
      <c r="D48" s="1452"/>
      <c r="E48" s="1452"/>
      <c r="F48" s="1452"/>
      <c r="G48" s="1452"/>
      <c r="H48" s="1452"/>
      <c r="I48" s="1452"/>
      <c r="J48" s="1452"/>
      <c r="K48" s="1452"/>
      <c r="L48" s="1452"/>
      <c r="M48" s="1452"/>
      <c r="N48" s="1452"/>
      <c r="O48" s="1452"/>
      <c r="P48" s="1452"/>
    </row>
    <row r="49" spans="1:16" x14ac:dyDescent="0.35">
      <c r="A49" s="1452"/>
      <c r="B49" s="1452"/>
      <c r="C49" s="1452"/>
      <c r="D49" s="1452"/>
      <c r="E49" s="1452"/>
      <c r="F49" s="1452"/>
      <c r="G49" s="1452"/>
      <c r="H49" s="1452"/>
      <c r="I49" s="1452"/>
      <c r="J49" s="1452"/>
      <c r="K49" s="1452"/>
      <c r="L49" s="1452"/>
      <c r="M49" s="1452"/>
      <c r="N49" s="1452"/>
      <c r="O49" s="1452"/>
      <c r="P49" s="1452"/>
    </row>
    <row r="50" spans="1:16" x14ac:dyDescent="0.35">
      <c r="A50" s="1031"/>
      <c r="B50" s="1031"/>
      <c r="C50" s="1031"/>
      <c r="D50" s="1032"/>
      <c r="E50" s="1031"/>
      <c r="F50" s="1031"/>
      <c r="G50" s="1031"/>
      <c r="H50" s="1031"/>
      <c r="I50" s="1031"/>
      <c r="J50" s="1031"/>
      <c r="K50" s="1031"/>
      <c r="L50" s="1031"/>
      <c r="M50" s="1031"/>
      <c r="N50" s="1031"/>
      <c r="O50" s="1031"/>
      <c r="P50" s="1031"/>
    </row>
    <row r="51" spans="1:16" x14ac:dyDescent="0.35">
      <c r="A51" s="1447" t="s">
        <v>551</v>
      </c>
      <c r="B51" s="1447"/>
      <c r="C51" s="1447"/>
      <c r="D51" s="1447"/>
      <c r="E51" s="1447"/>
      <c r="F51" s="1447"/>
      <c r="G51" s="1447"/>
      <c r="H51" s="1447"/>
      <c r="I51" s="1447"/>
      <c r="J51" s="1447"/>
      <c r="K51" s="1447"/>
      <c r="L51" s="1447"/>
      <c r="M51" s="1447"/>
      <c r="N51" s="1447"/>
      <c r="O51" s="1447"/>
      <c r="P51" s="1447"/>
    </row>
    <row r="52" spans="1:16" x14ac:dyDescent="0.35">
      <c r="A52" s="1447"/>
      <c r="B52" s="1447"/>
      <c r="C52" s="1447"/>
      <c r="D52" s="1447"/>
      <c r="E52" s="1447"/>
      <c r="F52" s="1447"/>
      <c r="G52" s="1447"/>
      <c r="H52" s="1447"/>
      <c r="I52" s="1447"/>
      <c r="J52" s="1447"/>
      <c r="K52" s="1447"/>
      <c r="L52" s="1447"/>
      <c r="M52" s="1447"/>
      <c r="N52" s="1447"/>
      <c r="O52" s="1447"/>
      <c r="P52" s="1447"/>
    </row>
    <row r="53" spans="1:16" x14ac:dyDescent="0.35">
      <c r="A53" s="1447"/>
      <c r="B53" s="1447"/>
      <c r="C53" s="1447"/>
      <c r="D53" s="1447"/>
      <c r="E53" s="1447"/>
      <c r="F53" s="1447"/>
      <c r="G53" s="1447"/>
      <c r="H53" s="1447"/>
      <c r="I53" s="1447"/>
      <c r="J53" s="1447"/>
      <c r="K53" s="1447"/>
      <c r="L53" s="1447"/>
      <c r="M53" s="1447"/>
      <c r="N53" s="1447"/>
      <c r="O53" s="1447"/>
      <c r="P53" s="1447"/>
    </row>
    <row r="54" spans="1:16" x14ac:dyDescent="0.35">
      <c r="A54" s="1033"/>
      <c r="B54" s="1033"/>
      <c r="C54" s="1033"/>
      <c r="D54" s="1024"/>
      <c r="E54" s="1033"/>
      <c r="F54" s="1033"/>
      <c r="G54" s="1033"/>
      <c r="H54" s="1033"/>
      <c r="I54" s="1033"/>
      <c r="J54" s="1033"/>
      <c r="K54" s="1033"/>
      <c r="L54" s="1033"/>
      <c r="M54" s="1033"/>
      <c r="N54" s="1033"/>
      <c r="O54" s="1033"/>
      <c r="P54" s="1033"/>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topLeftCell="A31" workbookViewId="0">
      <selection activeCell="A40" sqref="A40"/>
    </sheetView>
  </sheetViews>
  <sheetFormatPr defaultColWidth="10.90625" defaultRowHeight="14.5" x14ac:dyDescent="0.35"/>
  <cols>
    <col min="1" max="1" width="36" customWidth="1"/>
    <col min="2" max="2" width="15.54296875" customWidth="1"/>
    <col min="3" max="19" width="10.7265625" customWidth="1"/>
    <col min="20" max="20" width="125.81640625" customWidth="1"/>
  </cols>
  <sheetData>
    <row r="1" spans="1:19" x14ac:dyDescent="0.35">
      <c r="A1" s="164" t="s">
        <v>1380</v>
      </c>
      <c r="D1" s="1114">
        <v>2022</v>
      </c>
      <c r="E1" s="1114">
        <v>2023</v>
      </c>
      <c r="F1" s="1114">
        <v>2024</v>
      </c>
      <c r="G1" s="1114">
        <v>2025</v>
      </c>
      <c r="H1" s="1114">
        <v>2026</v>
      </c>
      <c r="I1" s="1114">
        <v>2027</v>
      </c>
      <c r="J1" s="1114">
        <v>2028</v>
      </c>
      <c r="K1" s="1114">
        <v>2029</v>
      </c>
      <c r="L1" s="1114">
        <v>2030</v>
      </c>
      <c r="M1" s="1115">
        <v>2031</v>
      </c>
      <c r="N1" s="1116" t="s">
        <v>1182</v>
      </c>
      <c r="O1" s="1116" t="s">
        <v>1183</v>
      </c>
      <c r="P1" s="1101"/>
      <c r="Q1" s="1101"/>
      <c r="R1" s="1101"/>
      <c r="S1" s="1101"/>
    </row>
    <row r="2" spans="1:19" x14ac:dyDescent="0.35">
      <c r="C2" s="1454" t="s">
        <v>1381</v>
      </c>
      <c r="D2" s="1454"/>
      <c r="E2" s="1454"/>
      <c r="F2" s="1454"/>
      <c r="G2" s="1454"/>
      <c r="H2" s="1454"/>
      <c r="I2" s="1454"/>
      <c r="J2" s="1454"/>
      <c r="K2" s="1454"/>
      <c r="L2" s="1454"/>
      <c r="M2" s="1454"/>
      <c r="N2" s="1454"/>
      <c r="O2" s="1454"/>
      <c r="P2" s="1100"/>
      <c r="Q2" s="1100"/>
      <c r="R2" s="1100"/>
      <c r="S2" s="1100"/>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55" t="s">
        <v>1391</v>
      </c>
      <c r="D42" s="1455"/>
      <c r="E42" s="1455"/>
      <c r="F42" s="1455"/>
      <c r="G42" s="1455"/>
      <c r="H42" s="1455"/>
      <c r="I42" s="1455"/>
      <c r="J42" s="1455"/>
      <c r="K42" s="1455"/>
      <c r="L42" s="1455"/>
      <c r="M42" s="1455"/>
      <c r="N42" s="1455"/>
      <c r="O42" s="1455"/>
      <c r="P42" s="1100"/>
      <c r="Q42" s="1100"/>
      <c r="R42" s="1100"/>
      <c r="S42" s="1100"/>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17" t="s">
        <v>1412</v>
      </c>
      <c r="B60" s="1118">
        <v>10301</v>
      </c>
      <c r="C60" s="1118" t="s">
        <v>239</v>
      </c>
      <c r="D60" s="1118">
        <v>0</v>
      </c>
      <c r="E60" s="1119">
        <v>2012</v>
      </c>
      <c r="F60" s="1119">
        <v>5106</v>
      </c>
      <c r="G60" s="1119">
        <v>11125</v>
      </c>
      <c r="H60" s="1119">
        <v>16116</v>
      </c>
      <c r="I60" s="1119">
        <v>21716</v>
      </c>
      <c r="J60" s="1119">
        <v>26314</v>
      </c>
      <c r="K60" s="1119">
        <v>31218</v>
      </c>
      <c r="L60" s="1119">
        <v>34877</v>
      </c>
      <c r="M60" s="1119">
        <v>31904</v>
      </c>
      <c r="N60" s="1119">
        <v>34359</v>
      </c>
      <c r="O60" s="1120">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21">
        <v>2022</v>
      </c>
      <c r="E67" s="1121">
        <v>2023</v>
      </c>
      <c r="F67" s="1121">
        <v>2024</v>
      </c>
      <c r="G67" s="1121">
        <v>2025</v>
      </c>
      <c r="H67" s="1121">
        <v>2026</v>
      </c>
      <c r="I67" s="1121">
        <v>2027</v>
      </c>
      <c r="J67" s="1121">
        <v>2028</v>
      </c>
      <c r="K67" s="1121">
        <v>2029</v>
      </c>
      <c r="L67" s="1121">
        <v>2030</v>
      </c>
      <c r="M67" s="1122">
        <v>2031</v>
      </c>
      <c r="N67" s="1101" t="s">
        <v>1362</v>
      </c>
      <c r="O67" s="1123" t="s">
        <v>1363</v>
      </c>
      <c r="P67" s="1101"/>
      <c r="Q67" s="1101"/>
      <c r="R67" s="1101"/>
      <c r="S67" s="1101"/>
    </row>
    <row r="68" spans="3:19" x14ac:dyDescent="0.35">
      <c r="C68" s="1456" t="s">
        <v>1421</v>
      </c>
      <c r="D68" s="1457"/>
      <c r="E68" s="1457"/>
      <c r="F68" s="1457"/>
      <c r="G68" s="1457"/>
      <c r="H68" s="1457"/>
      <c r="I68" s="1457"/>
      <c r="J68" s="1457"/>
      <c r="K68" s="1457"/>
      <c r="L68" s="1457"/>
      <c r="M68" s="1457"/>
      <c r="N68" s="1457"/>
      <c r="O68" s="1458"/>
      <c r="P68" s="1100"/>
      <c r="Q68" s="1100"/>
      <c r="R68" s="1100"/>
      <c r="S68" s="1100"/>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5">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5">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5">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5">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1">
        <f t="shared" si="5"/>
        <v>16463</v>
      </c>
      <c r="O74" s="236">
        <f t="shared" si="5"/>
        <v>55153</v>
      </c>
      <c r="P74" s="56"/>
      <c r="Q74" s="56"/>
      <c r="R74" s="56"/>
      <c r="S74" s="56"/>
    </row>
    <row r="75" spans="3:19" x14ac:dyDescent="0.35">
      <c r="C75" s="1456" t="s">
        <v>1422</v>
      </c>
      <c r="D75" s="1457"/>
      <c r="E75" s="1457"/>
      <c r="F75" s="1457"/>
      <c r="G75" s="1457"/>
      <c r="H75" s="1457"/>
      <c r="I75" s="1457"/>
      <c r="J75" s="1457"/>
      <c r="K75" s="1457"/>
      <c r="L75" s="1457"/>
      <c r="M75" s="1457"/>
      <c r="N75" s="1457"/>
      <c r="O75" s="1458"/>
      <c r="P75" s="1100"/>
      <c r="Q75" s="1100"/>
      <c r="R75" s="1100"/>
      <c r="S75" s="1100"/>
    </row>
    <row r="76" spans="3:19" x14ac:dyDescent="0.35">
      <c r="C76" s="67" t="s">
        <v>384</v>
      </c>
      <c r="D76" s="56">
        <v>0</v>
      </c>
      <c r="E76" s="56">
        <v>596</v>
      </c>
      <c r="F76" s="56">
        <v>1406</v>
      </c>
      <c r="G76" s="56">
        <v>1885</v>
      </c>
      <c r="H76" s="56">
        <v>2113</v>
      </c>
      <c r="I76" s="56">
        <v>2058</v>
      </c>
      <c r="J76" s="56">
        <v>1745</v>
      </c>
      <c r="K76" s="56">
        <v>1369</v>
      </c>
      <c r="L76" s="56">
        <v>970</v>
      </c>
      <c r="M76" s="56">
        <v>369</v>
      </c>
      <c r="N76" s="742">
        <v>6000</v>
      </c>
      <c r="O76" s="741">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5">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5">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5">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5">
        <v>24916</v>
      </c>
      <c r="P80" s="56"/>
      <c r="Q80" s="56"/>
      <c r="R80" s="56"/>
      <c r="S80" s="56"/>
    </row>
    <row r="81" spans="1:20" x14ac:dyDescent="0.35">
      <c r="C81" s="67"/>
      <c r="N81" s="341"/>
      <c r="O81" s="236"/>
      <c r="P81" s="56"/>
      <c r="Q81" s="56"/>
      <c r="R81" s="56"/>
      <c r="S81" s="56"/>
    </row>
    <row r="82" spans="1:20" x14ac:dyDescent="0.35">
      <c r="C82" s="1456" t="s">
        <v>1391</v>
      </c>
      <c r="D82" s="1457"/>
      <c r="E82" s="1457"/>
      <c r="F82" s="1457"/>
      <c r="G82" s="1457"/>
      <c r="H82" s="1457"/>
      <c r="I82" s="1457"/>
      <c r="J82" s="1457"/>
      <c r="K82" s="1457"/>
      <c r="L82" s="1457"/>
      <c r="M82" s="1457"/>
      <c r="N82" s="1457"/>
      <c r="O82" s="1458"/>
      <c r="P82" s="1100"/>
      <c r="Q82" s="1100"/>
      <c r="R82" s="1100"/>
      <c r="S82" s="1100"/>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36" t="s">
        <v>1180</v>
      </c>
      <c r="B88" s="1037" t="s">
        <v>1181</v>
      </c>
      <c r="C88" s="1038">
        <v>2022</v>
      </c>
      <c r="D88" s="1038">
        <v>2023</v>
      </c>
      <c r="E88" s="1038">
        <v>2024</v>
      </c>
      <c r="F88" s="1038">
        <v>2025</v>
      </c>
      <c r="G88" s="1038">
        <v>2026</v>
      </c>
      <c r="H88" s="1038">
        <v>2027</v>
      </c>
      <c r="I88" s="1038">
        <v>2028</v>
      </c>
      <c r="J88" s="1038">
        <v>2029</v>
      </c>
      <c r="K88" s="1038">
        <v>2030</v>
      </c>
      <c r="L88" s="1038">
        <v>2031</v>
      </c>
      <c r="M88" s="1039" t="s">
        <v>1182</v>
      </c>
      <c r="N88" s="1039" t="s">
        <v>1183</v>
      </c>
      <c r="O88" s="1040" t="s">
        <v>1184</v>
      </c>
      <c r="P88" s="1040"/>
      <c r="Q88" s="1040"/>
      <c r="R88" s="1040"/>
      <c r="S88" s="1040"/>
      <c r="T88" s="1041" t="s">
        <v>1185</v>
      </c>
    </row>
    <row r="89" spans="1:20" x14ac:dyDescent="0.35">
      <c r="A89" s="1042" t="s">
        <v>1186</v>
      </c>
      <c r="B89" s="1043" t="s">
        <v>1187</v>
      </c>
      <c r="C89" s="1044">
        <v>0</v>
      </c>
      <c r="D89" s="1044">
        <v>3</v>
      </c>
      <c r="E89" s="1044">
        <v>3</v>
      </c>
      <c r="F89" s="1044">
        <v>3</v>
      </c>
      <c r="G89" s="1044">
        <v>3</v>
      </c>
      <c r="H89" s="1044">
        <v>1</v>
      </c>
      <c r="I89" s="1044">
        <v>0</v>
      </c>
      <c r="J89" s="1044">
        <v>0</v>
      </c>
      <c r="K89" s="1044">
        <v>0</v>
      </c>
      <c r="L89" s="1044">
        <v>0</v>
      </c>
      <c r="M89" s="1044">
        <v>12</v>
      </c>
      <c r="N89" s="1044">
        <v>13</v>
      </c>
      <c r="O89" s="1045" t="s">
        <v>1188</v>
      </c>
      <c r="P89" s="1045"/>
      <c r="Q89" s="1045"/>
      <c r="R89" s="1045"/>
      <c r="S89" s="1045"/>
      <c r="T89" s="1046"/>
    </row>
    <row r="90" spans="1:20" ht="24" customHeight="1" x14ac:dyDescent="0.35">
      <c r="A90" s="1042" t="s">
        <v>1189</v>
      </c>
      <c r="B90" s="1043" t="s">
        <v>1190</v>
      </c>
      <c r="C90" s="1044">
        <v>0</v>
      </c>
      <c r="D90" s="1044">
        <v>65</v>
      </c>
      <c r="E90" s="1044">
        <v>1360</v>
      </c>
      <c r="F90" s="1044">
        <v>2430</v>
      </c>
      <c r="G90" s="1044">
        <v>2800</v>
      </c>
      <c r="H90" s="1044">
        <v>1740</v>
      </c>
      <c r="I90" s="1044">
        <v>570</v>
      </c>
      <c r="J90" s="1044">
        <v>35</v>
      </c>
      <c r="K90" s="1044">
        <v>0</v>
      </c>
      <c r="L90" s="1044">
        <v>0</v>
      </c>
      <c r="M90" s="1044">
        <v>6655</v>
      </c>
      <c r="N90" s="1044">
        <v>9000</v>
      </c>
      <c r="O90" s="1045" t="s">
        <v>1188</v>
      </c>
      <c r="P90" s="1045"/>
      <c r="Q90" s="1045"/>
      <c r="R90" s="1045"/>
      <c r="S90" s="1045"/>
      <c r="T90" s="1047"/>
    </row>
    <row r="91" spans="1:20" x14ac:dyDescent="0.35">
      <c r="A91" s="1048" t="s">
        <v>1191</v>
      </c>
      <c r="B91" s="1049" t="s">
        <v>1192</v>
      </c>
      <c r="C91" s="1050">
        <v>0</v>
      </c>
      <c r="D91" s="1050">
        <v>0</v>
      </c>
      <c r="E91" s="1050">
        <v>601</v>
      </c>
      <c r="F91" s="1051">
        <v>1038</v>
      </c>
      <c r="G91" s="1051">
        <v>1251</v>
      </c>
      <c r="H91" s="1051">
        <v>1431</v>
      </c>
      <c r="I91" s="1051">
        <v>1492</v>
      </c>
      <c r="J91" s="1051">
        <v>1530</v>
      </c>
      <c r="K91" s="1051">
        <v>1567</v>
      </c>
      <c r="L91" s="1051">
        <v>1606</v>
      </c>
      <c r="M91" s="1051">
        <v>2890</v>
      </c>
      <c r="N91" s="1051">
        <v>10516</v>
      </c>
      <c r="O91" s="1052" t="s">
        <v>1193</v>
      </c>
      <c r="P91" s="1052"/>
      <c r="Q91" s="1052"/>
      <c r="R91" s="1052"/>
      <c r="S91" s="1052"/>
      <c r="T91" s="1053"/>
    </row>
    <row r="92" spans="1:20" x14ac:dyDescent="0.35">
      <c r="A92" s="1054" t="s">
        <v>1194</v>
      </c>
      <c r="B92" s="1055" t="s">
        <v>1195</v>
      </c>
      <c r="C92" s="1121">
        <v>0</v>
      </c>
      <c r="D92" s="1121">
        <v>30</v>
      </c>
      <c r="E92" s="1121">
        <v>120</v>
      </c>
      <c r="F92" s="1121">
        <v>165</v>
      </c>
      <c r="G92" s="1121">
        <v>370</v>
      </c>
      <c r="H92" s="1121">
        <v>470</v>
      </c>
      <c r="I92" s="1121">
        <v>420</v>
      </c>
      <c r="J92" s="1121">
        <v>285</v>
      </c>
      <c r="K92" s="1121">
        <v>220</v>
      </c>
      <c r="L92" s="1122">
        <v>65</v>
      </c>
      <c r="M92" s="1121">
        <v>685</v>
      </c>
      <c r="N92" s="1056">
        <v>2145</v>
      </c>
      <c r="O92" s="1057" t="s">
        <v>1196</v>
      </c>
      <c r="P92" s="1102"/>
      <c r="Q92" s="1102"/>
      <c r="R92" s="1102"/>
      <c r="S92" s="1102"/>
      <c r="T92" s="1058" t="s">
        <v>1197</v>
      </c>
    </row>
    <row r="93" spans="1:20" x14ac:dyDescent="0.35">
      <c r="A93" s="1042" t="s">
        <v>1198</v>
      </c>
      <c r="B93" s="1043" t="s">
        <v>1199</v>
      </c>
      <c r="C93" s="1044">
        <v>0</v>
      </c>
      <c r="D93" s="1044">
        <v>2</v>
      </c>
      <c r="E93" s="1044">
        <v>10</v>
      </c>
      <c r="F93" s="1044">
        <v>25</v>
      </c>
      <c r="G93" s="1044">
        <v>28</v>
      </c>
      <c r="H93" s="1044">
        <v>17</v>
      </c>
      <c r="I93" s="1044">
        <v>11</v>
      </c>
      <c r="J93" s="1044">
        <v>4</v>
      </c>
      <c r="K93" s="1044">
        <v>2</v>
      </c>
      <c r="L93" s="1044">
        <v>1</v>
      </c>
      <c r="M93" s="1044">
        <v>65</v>
      </c>
      <c r="N93" s="1044">
        <v>100</v>
      </c>
      <c r="O93" s="1045" t="s">
        <v>1196</v>
      </c>
      <c r="P93" s="1045"/>
      <c r="Q93" s="1045"/>
      <c r="R93" s="1045"/>
      <c r="S93" s="1045"/>
      <c r="T93" s="1046" t="s">
        <v>1200</v>
      </c>
    </row>
    <row r="94" spans="1:20" ht="24" customHeight="1" x14ac:dyDescent="0.35">
      <c r="A94" s="1059" t="s">
        <v>1201</v>
      </c>
      <c r="B94" s="1060" t="s">
        <v>1202</v>
      </c>
      <c r="C94" s="1044">
        <v>0</v>
      </c>
      <c r="D94" s="1044">
        <v>36</v>
      </c>
      <c r="E94" s="1044">
        <v>30</v>
      </c>
      <c r="F94" s="1044">
        <v>14</v>
      </c>
      <c r="G94" s="1044">
        <v>7</v>
      </c>
      <c r="H94" s="1044">
        <v>0</v>
      </c>
      <c r="I94" s="1044">
        <v>0</v>
      </c>
      <c r="J94" s="1044">
        <v>0</v>
      </c>
      <c r="K94" s="1044">
        <v>0</v>
      </c>
      <c r="L94" s="1044">
        <v>0</v>
      </c>
      <c r="M94" s="1044">
        <v>87</v>
      </c>
      <c r="N94" s="1044">
        <v>87</v>
      </c>
      <c r="O94" s="1045" t="s">
        <v>1196</v>
      </c>
      <c r="P94" s="1045"/>
      <c r="Q94" s="1045"/>
      <c r="R94" s="1045"/>
      <c r="S94" s="1045"/>
      <c r="T94" s="1046" t="s">
        <v>1203</v>
      </c>
    </row>
    <row r="95" spans="1:20" x14ac:dyDescent="0.35">
      <c r="A95" s="1042" t="s">
        <v>1204</v>
      </c>
      <c r="B95" s="1043" t="s">
        <v>1205</v>
      </c>
      <c r="C95" s="1044">
        <v>0</v>
      </c>
      <c r="D95" s="1061">
        <v>5240</v>
      </c>
      <c r="E95" s="1061">
        <v>4175</v>
      </c>
      <c r="F95" s="1061">
        <v>5215</v>
      </c>
      <c r="G95" s="1061">
        <v>6493</v>
      </c>
      <c r="H95" s="1061">
        <v>7982</v>
      </c>
      <c r="I95" s="1061">
        <v>9820</v>
      </c>
      <c r="J95" s="1061">
        <v>11813</v>
      </c>
      <c r="K95" s="1061">
        <v>14269</v>
      </c>
      <c r="L95" s="1061">
        <v>14605</v>
      </c>
      <c r="M95" s="1061">
        <v>21123</v>
      </c>
      <c r="N95" s="1061">
        <v>79612</v>
      </c>
      <c r="O95" s="1062" t="s">
        <v>1196</v>
      </c>
      <c r="P95" s="1062"/>
      <c r="Q95" s="1062"/>
      <c r="R95" s="1062"/>
      <c r="S95" s="1062"/>
      <c r="T95" s="1046"/>
    </row>
    <row r="96" spans="1:20" x14ac:dyDescent="0.35">
      <c r="A96" s="1042" t="s">
        <v>1206</v>
      </c>
      <c r="B96" s="1043" t="s">
        <v>1207</v>
      </c>
      <c r="C96" s="1063">
        <v>0</v>
      </c>
      <c r="D96" s="1063">
        <v>55</v>
      </c>
      <c r="E96" s="1063">
        <v>55</v>
      </c>
      <c r="F96" s="1063">
        <v>55</v>
      </c>
      <c r="G96" s="1063">
        <v>55</v>
      </c>
      <c r="H96" s="1063">
        <v>55</v>
      </c>
      <c r="I96" s="1063">
        <v>55</v>
      </c>
      <c r="J96" s="1063">
        <v>55</v>
      </c>
      <c r="K96" s="1063">
        <v>55</v>
      </c>
      <c r="L96" s="1063">
        <v>55</v>
      </c>
      <c r="M96" s="1063">
        <v>220</v>
      </c>
      <c r="N96" s="1063">
        <v>495</v>
      </c>
      <c r="O96" s="1064" t="s">
        <v>1196</v>
      </c>
      <c r="P96" s="1064"/>
      <c r="Q96" s="1064"/>
      <c r="R96" s="1064"/>
      <c r="S96" s="1064"/>
      <c r="T96" s="1047"/>
    </row>
    <row r="97" spans="1:20" x14ac:dyDescent="0.35">
      <c r="A97" s="1042" t="s">
        <v>1208</v>
      </c>
      <c r="B97" s="1043" t="s">
        <v>1209</v>
      </c>
      <c r="C97" s="1044">
        <v>0</v>
      </c>
      <c r="D97" s="1044">
        <v>19</v>
      </c>
      <c r="E97" s="1044">
        <v>26</v>
      </c>
      <c r="F97" s="1044">
        <v>27</v>
      </c>
      <c r="G97" s="1044">
        <v>17</v>
      </c>
      <c r="H97" s="1044">
        <v>7</v>
      </c>
      <c r="I97" s="1044">
        <v>3</v>
      </c>
      <c r="J97" s="1044">
        <v>1</v>
      </c>
      <c r="K97" s="1044">
        <v>0</v>
      </c>
      <c r="L97" s="1044">
        <v>0</v>
      </c>
      <c r="M97" s="1044">
        <v>89</v>
      </c>
      <c r="N97" s="1044">
        <v>100</v>
      </c>
      <c r="O97" s="1062" t="s">
        <v>1196</v>
      </c>
      <c r="P97" s="1062"/>
      <c r="Q97" s="1062"/>
      <c r="R97" s="1062"/>
      <c r="S97" s="1062"/>
      <c r="T97" s="1047"/>
    </row>
    <row r="98" spans="1:20" x14ac:dyDescent="0.35">
      <c r="A98" s="1042" t="s">
        <v>1210</v>
      </c>
      <c r="B98" s="1043" t="s">
        <v>1211</v>
      </c>
      <c r="C98" s="1044">
        <v>0</v>
      </c>
      <c r="D98" s="1044">
        <v>15</v>
      </c>
      <c r="E98" s="1044">
        <v>15</v>
      </c>
      <c r="F98" s="1044">
        <v>15</v>
      </c>
      <c r="G98" s="1044">
        <v>10</v>
      </c>
      <c r="H98" s="1044">
        <v>10</v>
      </c>
      <c r="I98" s="1044">
        <v>10</v>
      </c>
      <c r="J98" s="1044">
        <v>10</v>
      </c>
      <c r="K98" s="1044">
        <v>10</v>
      </c>
      <c r="L98" s="1044">
        <v>5</v>
      </c>
      <c r="M98" s="1044">
        <v>55</v>
      </c>
      <c r="N98" s="1044">
        <v>100</v>
      </c>
      <c r="O98" s="1045" t="s">
        <v>1196</v>
      </c>
      <c r="P98" s="1045"/>
      <c r="Q98" s="1045"/>
      <c r="R98" s="1045"/>
      <c r="S98" s="1045"/>
      <c r="T98" s="1047"/>
    </row>
    <row r="99" spans="1:20" ht="36" customHeight="1" x14ac:dyDescent="0.35">
      <c r="A99" s="1042" t="s">
        <v>1212</v>
      </c>
      <c r="B99" s="1043" t="s">
        <v>1213</v>
      </c>
      <c r="C99" s="1065">
        <v>0</v>
      </c>
      <c r="D99" s="1065">
        <v>22</v>
      </c>
      <c r="E99" s="1065">
        <v>96</v>
      </c>
      <c r="F99" s="1065">
        <v>170</v>
      </c>
      <c r="G99" s="1065">
        <v>213</v>
      </c>
      <c r="H99" s="1065">
        <v>160</v>
      </c>
      <c r="I99" s="1065">
        <v>47</v>
      </c>
      <c r="J99" s="1065">
        <v>2</v>
      </c>
      <c r="K99" s="1065">
        <v>0</v>
      </c>
      <c r="L99" s="1065">
        <v>0</v>
      </c>
      <c r="M99" s="1065">
        <v>501</v>
      </c>
      <c r="N99" s="1065">
        <v>710</v>
      </c>
      <c r="O99" s="1044" t="s">
        <v>1196</v>
      </c>
      <c r="P99" s="1044"/>
      <c r="Q99" s="1044"/>
      <c r="R99" s="1044"/>
      <c r="S99" s="1044"/>
      <c r="T99" s="1047"/>
    </row>
    <row r="100" spans="1:20" ht="36" customHeight="1" x14ac:dyDescent="0.35">
      <c r="A100" s="1042" t="s">
        <v>1214</v>
      </c>
      <c r="B100" s="1043" t="s">
        <v>1215</v>
      </c>
      <c r="C100" s="1066"/>
      <c r="D100" s="1066">
        <v>90</v>
      </c>
      <c r="E100" s="1066">
        <v>260</v>
      </c>
      <c r="F100" s="1066">
        <v>427</v>
      </c>
      <c r="G100" s="1066">
        <v>560</v>
      </c>
      <c r="H100" s="1066">
        <v>572</v>
      </c>
      <c r="I100" s="1066">
        <v>534</v>
      </c>
      <c r="J100" s="1066">
        <v>275</v>
      </c>
      <c r="K100" s="1066">
        <v>162</v>
      </c>
      <c r="L100" s="1066">
        <v>70</v>
      </c>
      <c r="M100" s="1066">
        <v>1347</v>
      </c>
      <c r="N100" s="1066">
        <v>2960</v>
      </c>
      <c r="O100" s="1067" t="s">
        <v>1196</v>
      </c>
      <c r="P100" s="1067"/>
      <c r="Q100" s="1067"/>
      <c r="R100" s="1067"/>
      <c r="S100" s="1067"/>
      <c r="T100" s="1047"/>
    </row>
    <row r="101" spans="1:20" x14ac:dyDescent="0.35">
      <c r="A101" s="1042" t="s">
        <v>1216</v>
      </c>
      <c r="B101" s="1043" t="s">
        <v>1217</v>
      </c>
      <c r="C101" s="1044">
        <v>0</v>
      </c>
      <c r="D101" s="1044">
        <v>40</v>
      </c>
      <c r="E101" s="1044">
        <v>60</v>
      </c>
      <c r="F101" s="1044">
        <v>52</v>
      </c>
      <c r="G101" s="1044">
        <v>40</v>
      </c>
      <c r="H101" s="1044">
        <v>27</v>
      </c>
      <c r="I101" s="1044">
        <v>19</v>
      </c>
      <c r="J101" s="1044">
        <v>10</v>
      </c>
      <c r="K101" s="1044">
        <v>2</v>
      </c>
      <c r="L101" s="1044">
        <v>0</v>
      </c>
      <c r="M101" s="1044">
        <v>192</v>
      </c>
      <c r="N101" s="1044">
        <v>250</v>
      </c>
      <c r="O101" s="1045" t="s">
        <v>1196</v>
      </c>
      <c r="P101" s="1045"/>
      <c r="Q101" s="1045"/>
      <c r="R101" s="1045"/>
      <c r="S101" s="1045"/>
      <c r="T101" s="1047"/>
    </row>
    <row r="102" spans="1:20" x14ac:dyDescent="0.35">
      <c r="A102" s="1059" t="s">
        <v>1218</v>
      </c>
      <c r="B102" s="1060" t="s">
        <v>1219</v>
      </c>
      <c r="C102" s="1044">
        <v>0</v>
      </c>
      <c r="D102" s="1044">
        <v>49</v>
      </c>
      <c r="E102" s="1044">
        <v>62</v>
      </c>
      <c r="F102" s="1044">
        <v>62</v>
      </c>
      <c r="G102" s="1044">
        <v>62</v>
      </c>
      <c r="H102" s="1044">
        <v>63</v>
      </c>
      <c r="I102" s="1044">
        <v>63</v>
      </c>
      <c r="J102" s="1044">
        <v>63</v>
      </c>
      <c r="K102" s="1044">
        <v>64</v>
      </c>
      <c r="L102" s="1044">
        <v>12</v>
      </c>
      <c r="M102" s="1044">
        <v>235</v>
      </c>
      <c r="N102" s="1044">
        <v>500</v>
      </c>
      <c r="O102" s="1045" t="s">
        <v>1196</v>
      </c>
      <c r="P102" s="1045"/>
      <c r="Q102" s="1045"/>
      <c r="R102" s="1045"/>
      <c r="S102" s="1045"/>
      <c r="T102" s="1047"/>
    </row>
    <row r="103" spans="1:20" x14ac:dyDescent="0.35">
      <c r="A103" s="1042" t="s">
        <v>1220</v>
      </c>
      <c r="B103" s="1043" t="s">
        <v>1221</v>
      </c>
      <c r="C103" s="1044">
        <v>0</v>
      </c>
      <c r="D103" s="1044">
        <v>0</v>
      </c>
      <c r="E103" s="1044">
        <v>0</v>
      </c>
      <c r="F103" s="1044">
        <v>0</v>
      </c>
      <c r="G103" s="1044">
        <v>-20</v>
      </c>
      <c r="H103" s="1044">
        <v>-28</v>
      </c>
      <c r="I103" s="1044">
        <v>-28</v>
      </c>
      <c r="J103" s="1044">
        <v>-28</v>
      </c>
      <c r="K103" s="1044">
        <v>-28</v>
      </c>
      <c r="L103" s="1044">
        <v>-28</v>
      </c>
      <c r="M103" s="1044">
        <v>-20</v>
      </c>
      <c r="N103" s="1044">
        <v>-160</v>
      </c>
      <c r="O103" s="1045" t="s">
        <v>1196</v>
      </c>
      <c r="P103" s="1045"/>
      <c r="Q103" s="1045"/>
      <c r="R103" s="1045"/>
      <c r="S103" s="1045"/>
      <c r="T103" s="1047"/>
    </row>
    <row r="104" spans="1:20" ht="24" customHeight="1" x14ac:dyDescent="0.35">
      <c r="A104" s="1042" t="s">
        <v>1222</v>
      </c>
      <c r="B104" s="1043" t="s">
        <v>1223</v>
      </c>
      <c r="C104" s="1044">
        <v>0</v>
      </c>
      <c r="D104" s="1044">
        <v>-235</v>
      </c>
      <c r="E104" s="1044">
        <v>-44</v>
      </c>
      <c r="F104" s="1044">
        <v>-22</v>
      </c>
      <c r="G104" s="1044">
        <v>-26</v>
      </c>
      <c r="H104" s="1044">
        <v>-23</v>
      </c>
      <c r="I104" s="1044">
        <v>-19</v>
      </c>
      <c r="J104" s="1044">
        <v>-41</v>
      </c>
      <c r="K104" s="1044">
        <v>-35</v>
      </c>
      <c r="L104" s="1044">
        <v>-39</v>
      </c>
      <c r="M104" s="1044">
        <v>-327</v>
      </c>
      <c r="N104" s="1044">
        <v>-484</v>
      </c>
      <c r="O104" s="1045" t="s">
        <v>1196</v>
      </c>
      <c r="P104" s="1045"/>
      <c r="Q104" s="1045"/>
      <c r="R104" s="1045"/>
      <c r="S104" s="1045"/>
      <c r="T104" s="1047"/>
    </row>
    <row r="105" spans="1:20" x14ac:dyDescent="0.35">
      <c r="A105" s="1042" t="s">
        <v>1224</v>
      </c>
      <c r="B105" s="1043" t="s">
        <v>1225</v>
      </c>
      <c r="C105" s="1044">
        <v>0</v>
      </c>
      <c r="D105" s="1044">
        <v>7</v>
      </c>
      <c r="E105" s="1044">
        <v>8</v>
      </c>
      <c r="F105" s="1044">
        <v>6</v>
      </c>
      <c r="G105" s="1044">
        <v>2</v>
      </c>
      <c r="H105" s="1044">
        <v>1</v>
      </c>
      <c r="I105" s="1044">
        <v>0</v>
      </c>
      <c r="J105" s="1044">
        <v>0</v>
      </c>
      <c r="K105" s="1044">
        <v>0</v>
      </c>
      <c r="L105" s="1044">
        <v>0</v>
      </c>
      <c r="M105" s="1044">
        <v>23</v>
      </c>
      <c r="N105" s="1044">
        <v>24</v>
      </c>
      <c r="O105" s="1045" t="s">
        <v>1196</v>
      </c>
      <c r="P105" s="1045"/>
      <c r="Q105" s="1045"/>
      <c r="R105" s="1045"/>
      <c r="S105" s="1045"/>
      <c r="T105" s="1047"/>
    </row>
    <row r="106" spans="1:20" ht="36" customHeight="1" x14ac:dyDescent="0.35">
      <c r="A106" s="1042" t="s">
        <v>1226</v>
      </c>
      <c r="B106" s="1043" t="s">
        <v>1227</v>
      </c>
      <c r="C106" s="1044">
        <v>0</v>
      </c>
      <c r="D106" s="1044">
        <v>50</v>
      </c>
      <c r="E106" s="1044">
        <v>77</v>
      </c>
      <c r="F106" s="1044">
        <v>87</v>
      </c>
      <c r="G106" s="1044">
        <v>81</v>
      </c>
      <c r="H106" s="1044">
        <v>50</v>
      </c>
      <c r="I106" s="1044">
        <v>30</v>
      </c>
      <c r="J106" s="1044">
        <v>10</v>
      </c>
      <c r="K106" s="1044">
        <v>0</v>
      </c>
      <c r="L106" s="1044">
        <v>0</v>
      </c>
      <c r="M106" s="1044">
        <v>295</v>
      </c>
      <c r="N106" s="1044">
        <v>385</v>
      </c>
      <c r="O106" s="1045" t="s">
        <v>1196</v>
      </c>
      <c r="P106" s="1045"/>
      <c r="Q106" s="1045"/>
      <c r="R106" s="1045"/>
      <c r="S106" s="1045"/>
      <c r="T106" s="1047"/>
    </row>
    <row r="107" spans="1:20" x14ac:dyDescent="0.35">
      <c r="A107" s="1059" t="s">
        <v>1228</v>
      </c>
      <c r="B107" s="1060" t="s">
        <v>1229</v>
      </c>
      <c r="C107" s="1044">
        <v>0</v>
      </c>
      <c r="D107" s="1044">
        <v>3</v>
      </c>
      <c r="E107" s="1044">
        <v>2</v>
      </c>
      <c r="F107" s="1044">
        <v>0</v>
      </c>
      <c r="G107" s="1044">
        <v>0</v>
      </c>
      <c r="H107" s="1044">
        <v>0</v>
      </c>
      <c r="I107" s="1044">
        <v>0</v>
      </c>
      <c r="J107" s="1044">
        <v>0</v>
      </c>
      <c r="K107" s="1044">
        <v>0</v>
      </c>
      <c r="L107" s="1044">
        <v>0</v>
      </c>
      <c r="M107" s="1044">
        <v>5</v>
      </c>
      <c r="N107" s="1044">
        <v>5</v>
      </c>
      <c r="O107" s="1045" t="s">
        <v>1230</v>
      </c>
      <c r="P107" s="1045"/>
      <c r="Q107" s="1045"/>
      <c r="R107" s="1045"/>
      <c r="S107" s="1045"/>
      <c r="T107" s="1047"/>
    </row>
    <row r="108" spans="1:20" x14ac:dyDescent="0.35">
      <c r="A108" s="1059" t="s">
        <v>1231</v>
      </c>
      <c r="B108" s="1060" t="s">
        <v>1232</v>
      </c>
      <c r="C108" s="1044">
        <v>0</v>
      </c>
      <c r="D108" s="1044">
        <v>70</v>
      </c>
      <c r="E108" s="1044">
        <v>80</v>
      </c>
      <c r="F108" s="1044">
        <v>62</v>
      </c>
      <c r="G108" s="1044">
        <v>25</v>
      </c>
      <c r="H108" s="1044">
        <v>13</v>
      </c>
      <c r="I108" s="1044">
        <v>0</v>
      </c>
      <c r="J108" s="1044">
        <v>0</v>
      </c>
      <c r="K108" s="1044">
        <v>0</v>
      </c>
      <c r="L108" s="1044">
        <v>0</v>
      </c>
      <c r="M108" s="1044">
        <v>237</v>
      </c>
      <c r="N108" s="1044">
        <v>250</v>
      </c>
      <c r="O108" s="1045" t="s">
        <v>1230</v>
      </c>
      <c r="P108" s="1045"/>
      <c r="Q108" s="1045"/>
      <c r="R108" s="1045"/>
      <c r="S108" s="1045"/>
      <c r="T108" s="1047"/>
    </row>
    <row r="109" spans="1:20" ht="24" customHeight="1" x14ac:dyDescent="0.35">
      <c r="A109" s="1059" t="s">
        <v>1233</v>
      </c>
      <c r="B109" s="1060" t="s">
        <v>1234</v>
      </c>
      <c r="C109" s="1063">
        <v>0</v>
      </c>
      <c r="D109" s="1063">
        <v>33</v>
      </c>
      <c r="E109" s="1063">
        <v>54</v>
      </c>
      <c r="F109" s="1063">
        <v>37</v>
      </c>
      <c r="G109" s="1063">
        <v>16</v>
      </c>
      <c r="H109" s="1063">
        <v>0</v>
      </c>
      <c r="I109" s="1063">
        <v>0</v>
      </c>
      <c r="J109" s="1063">
        <v>0</v>
      </c>
      <c r="K109" s="1063">
        <v>0</v>
      </c>
      <c r="L109" s="1063">
        <v>0</v>
      </c>
      <c r="M109" s="1063">
        <v>140</v>
      </c>
      <c r="N109" s="1063">
        <v>140</v>
      </c>
      <c r="O109" s="1045" t="s">
        <v>1196</v>
      </c>
      <c r="P109" s="1045"/>
      <c r="Q109" s="1045"/>
      <c r="R109" s="1045"/>
      <c r="S109" s="1045"/>
      <c r="T109" s="1047"/>
    </row>
    <row r="110" spans="1:20" x14ac:dyDescent="0.35">
      <c r="A110" s="1042" t="s">
        <v>1235</v>
      </c>
      <c r="B110" s="1043" t="s">
        <v>1236</v>
      </c>
      <c r="C110" s="1044">
        <v>0</v>
      </c>
      <c r="D110" s="1044">
        <v>40</v>
      </c>
      <c r="E110" s="1044">
        <v>40</v>
      </c>
      <c r="F110" s="1044">
        <v>30</v>
      </c>
      <c r="G110" s="1044">
        <v>10</v>
      </c>
      <c r="H110" s="1044">
        <v>5</v>
      </c>
      <c r="I110" s="1044">
        <v>0</v>
      </c>
      <c r="J110" s="1044">
        <v>0</v>
      </c>
      <c r="K110" s="1044">
        <v>0</v>
      </c>
      <c r="L110" s="1044">
        <v>0</v>
      </c>
      <c r="M110" s="1044">
        <v>120</v>
      </c>
      <c r="N110" s="1044">
        <v>125</v>
      </c>
      <c r="O110" s="1045" t="s">
        <v>1196</v>
      </c>
      <c r="P110" s="1045"/>
      <c r="Q110" s="1045"/>
      <c r="R110" s="1045"/>
      <c r="S110" s="1045"/>
      <c r="T110" s="1047"/>
    </row>
    <row r="111" spans="1:20" x14ac:dyDescent="0.35">
      <c r="A111" s="1059" t="s">
        <v>1237</v>
      </c>
      <c r="B111" s="1043" t="s">
        <v>1238</v>
      </c>
      <c r="C111" s="1044">
        <v>0</v>
      </c>
      <c r="D111" s="1044">
        <v>5</v>
      </c>
      <c r="E111" s="1044">
        <v>8</v>
      </c>
      <c r="F111" s="1044">
        <v>8</v>
      </c>
      <c r="G111" s="1044">
        <v>8</v>
      </c>
      <c r="H111" s="1044">
        <v>4</v>
      </c>
      <c r="I111" s="1044">
        <v>0</v>
      </c>
      <c r="J111" s="1044">
        <v>0</v>
      </c>
      <c r="K111" s="1044">
        <v>0</v>
      </c>
      <c r="L111" s="1044">
        <v>0</v>
      </c>
      <c r="M111" s="1044">
        <v>29</v>
      </c>
      <c r="N111" s="1044">
        <v>33</v>
      </c>
      <c r="O111" s="1045" t="s">
        <v>1196</v>
      </c>
      <c r="P111" s="1045"/>
      <c r="Q111" s="1045"/>
      <c r="R111" s="1045"/>
      <c r="S111" s="1045"/>
      <c r="T111" s="1047"/>
    </row>
    <row r="112" spans="1:20" x14ac:dyDescent="0.35">
      <c r="A112" s="1042" t="s">
        <v>1239</v>
      </c>
      <c r="B112" s="1060" t="s">
        <v>1240</v>
      </c>
      <c r="C112" s="1044">
        <v>0</v>
      </c>
      <c r="D112" s="1044">
        <v>3</v>
      </c>
      <c r="E112" s="1044">
        <v>8</v>
      </c>
      <c r="F112" s="1044">
        <v>8</v>
      </c>
      <c r="G112" s="1044">
        <v>8</v>
      </c>
      <c r="H112" s="1044">
        <v>3</v>
      </c>
      <c r="I112" s="1044">
        <v>0</v>
      </c>
      <c r="J112" s="1044">
        <v>0</v>
      </c>
      <c r="K112" s="1044">
        <v>0</v>
      </c>
      <c r="L112" s="1044">
        <v>0</v>
      </c>
      <c r="M112" s="1044">
        <v>27</v>
      </c>
      <c r="N112" s="1044">
        <v>30</v>
      </c>
      <c r="O112" s="1045" t="s">
        <v>1196</v>
      </c>
      <c r="P112" s="1045"/>
      <c r="Q112" s="1045"/>
      <c r="R112" s="1045"/>
      <c r="S112" s="1045"/>
      <c r="T112" s="1047"/>
    </row>
    <row r="113" spans="1:20" ht="24" customHeight="1" x14ac:dyDescent="0.35">
      <c r="A113" s="1042" t="s">
        <v>1241</v>
      </c>
      <c r="B113" s="1043" t="s">
        <v>1242</v>
      </c>
      <c r="C113" s="1063">
        <v>0</v>
      </c>
      <c r="D113" s="1063">
        <v>165</v>
      </c>
      <c r="E113" s="1063">
        <v>165</v>
      </c>
      <c r="F113" s="1063">
        <v>230</v>
      </c>
      <c r="G113" s="1063">
        <v>340</v>
      </c>
      <c r="H113" s="1063">
        <v>490</v>
      </c>
      <c r="I113" s="1063">
        <v>540</v>
      </c>
      <c r="J113" s="1063">
        <v>640</v>
      </c>
      <c r="K113" s="1063">
        <v>475</v>
      </c>
      <c r="L113" s="1063">
        <v>330</v>
      </c>
      <c r="M113" s="1063">
        <v>900</v>
      </c>
      <c r="N113" s="1063">
        <v>3375</v>
      </c>
      <c r="O113" s="1062" t="s">
        <v>1196</v>
      </c>
      <c r="P113" s="1062"/>
      <c r="Q113" s="1062"/>
      <c r="R113" s="1062"/>
      <c r="S113" s="1062"/>
      <c r="T113" s="1047"/>
    </row>
    <row r="114" spans="1:20" ht="24" customHeight="1" x14ac:dyDescent="0.35">
      <c r="A114" s="1068" t="s">
        <v>1212</v>
      </c>
      <c r="B114" s="1069" t="s">
        <v>1243</v>
      </c>
      <c r="C114" s="1044">
        <v>0</v>
      </c>
      <c r="D114" s="1044">
        <v>195</v>
      </c>
      <c r="E114" s="1044">
        <v>448</v>
      </c>
      <c r="F114" s="1044">
        <v>641</v>
      </c>
      <c r="G114" s="1044">
        <v>716</v>
      </c>
      <c r="H114" s="1044">
        <v>681</v>
      </c>
      <c r="I114" s="1044">
        <v>528</v>
      </c>
      <c r="J114" s="1044">
        <v>421</v>
      </c>
      <c r="K114" s="1044">
        <v>323</v>
      </c>
      <c r="L114" s="1044">
        <v>23</v>
      </c>
      <c r="M114" s="1061">
        <v>2000</v>
      </c>
      <c r="N114" s="1061">
        <v>3976</v>
      </c>
      <c r="O114" s="1062" t="s">
        <v>1196</v>
      </c>
      <c r="P114" s="1062"/>
      <c r="Q114" s="1062"/>
      <c r="R114" s="1062"/>
      <c r="S114" s="1062"/>
      <c r="T114" s="1070"/>
    </row>
    <row r="115" spans="1:20" ht="30" customHeight="1" x14ac:dyDescent="0.35">
      <c r="A115" s="1054" t="s">
        <v>1244</v>
      </c>
      <c r="B115" s="1055" t="s">
        <v>1245</v>
      </c>
      <c r="C115" s="1071">
        <v>0</v>
      </c>
      <c r="D115" s="1071">
        <v>20</v>
      </c>
      <c r="E115" s="1071">
        <v>57</v>
      </c>
      <c r="F115" s="1071">
        <v>96</v>
      </c>
      <c r="G115" s="1071">
        <v>150</v>
      </c>
      <c r="H115" s="1071">
        <v>200</v>
      </c>
      <c r="I115" s="1071">
        <v>185</v>
      </c>
      <c r="J115" s="1071">
        <v>147</v>
      </c>
      <c r="K115" s="1071">
        <v>106</v>
      </c>
      <c r="L115" s="1071">
        <v>39</v>
      </c>
      <c r="M115" s="1071">
        <v>323</v>
      </c>
      <c r="N115" s="1072">
        <v>1000</v>
      </c>
      <c r="O115" s="1073" t="s">
        <v>1246</v>
      </c>
      <c r="P115" s="1103"/>
      <c r="Q115" s="1103"/>
      <c r="R115" s="1103"/>
      <c r="S115" s="1103"/>
      <c r="T115" s="1074" t="s">
        <v>1247</v>
      </c>
    </row>
    <row r="116" spans="1:20" x14ac:dyDescent="0.35">
      <c r="A116" s="1059" t="s">
        <v>1248</v>
      </c>
      <c r="B116" s="1043" t="s">
        <v>1249</v>
      </c>
      <c r="C116" s="1044">
        <v>0</v>
      </c>
      <c r="D116" s="1044">
        <v>15</v>
      </c>
      <c r="E116" s="1044">
        <v>53</v>
      </c>
      <c r="F116" s="1044">
        <v>57</v>
      </c>
      <c r="G116" s="1044">
        <v>48</v>
      </c>
      <c r="H116" s="1044">
        <v>43</v>
      </c>
      <c r="I116" s="1044">
        <v>17</v>
      </c>
      <c r="J116" s="1044">
        <v>2</v>
      </c>
      <c r="K116" s="1044">
        <v>0</v>
      </c>
      <c r="L116" s="1044">
        <v>0</v>
      </c>
      <c r="M116" s="1044">
        <v>173</v>
      </c>
      <c r="N116" s="1044">
        <v>235</v>
      </c>
      <c r="O116" s="1045" t="s">
        <v>1250</v>
      </c>
      <c r="P116" s="1045"/>
      <c r="Q116" s="1045"/>
      <c r="R116" s="1045"/>
      <c r="S116" s="1045"/>
      <c r="T116" s="1046" t="s">
        <v>1251</v>
      </c>
    </row>
    <row r="117" spans="1:20" x14ac:dyDescent="0.35">
      <c r="A117" s="1042" t="s">
        <v>1252</v>
      </c>
      <c r="B117" s="1043" t="s">
        <v>1253</v>
      </c>
      <c r="C117" s="1044">
        <v>0</v>
      </c>
      <c r="D117" s="1044">
        <v>15</v>
      </c>
      <c r="E117" s="1044">
        <v>53</v>
      </c>
      <c r="F117" s="1044">
        <v>57</v>
      </c>
      <c r="G117" s="1044">
        <v>48</v>
      </c>
      <c r="H117" s="1044">
        <v>43</v>
      </c>
      <c r="I117" s="1044">
        <v>17</v>
      </c>
      <c r="J117" s="1044">
        <v>2</v>
      </c>
      <c r="K117" s="1044">
        <v>0</v>
      </c>
      <c r="L117" s="1044">
        <v>0</v>
      </c>
      <c r="M117" s="1044">
        <v>173</v>
      </c>
      <c r="N117" s="1044">
        <v>235</v>
      </c>
      <c r="O117" s="1045" t="s">
        <v>1250</v>
      </c>
      <c r="P117" s="1045"/>
      <c r="Q117" s="1045"/>
      <c r="R117" s="1045"/>
      <c r="S117" s="1045"/>
      <c r="T117" s="1046" t="s">
        <v>1251</v>
      </c>
    </row>
    <row r="118" spans="1:20" x14ac:dyDescent="0.35">
      <c r="A118" s="1059" t="s">
        <v>1254</v>
      </c>
      <c r="B118" s="1060" t="s">
        <v>1255</v>
      </c>
      <c r="C118" s="1044">
        <v>0</v>
      </c>
      <c r="D118" s="1044">
        <v>42</v>
      </c>
      <c r="E118" s="1044">
        <v>18</v>
      </c>
      <c r="F118" s="1044">
        <v>0</v>
      </c>
      <c r="G118" s="1044">
        <v>0</v>
      </c>
      <c r="H118" s="1044">
        <v>0</v>
      </c>
      <c r="I118" s="1044">
        <v>0</v>
      </c>
      <c r="J118" s="1044">
        <v>0</v>
      </c>
      <c r="K118" s="1044">
        <v>0</v>
      </c>
      <c r="L118" s="1044">
        <v>0</v>
      </c>
      <c r="M118" s="1044">
        <v>60</v>
      </c>
      <c r="N118" s="1044">
        <v>60</v>
      </c>
      <c r="O118" s="1045" t="s">
        <v>1246</v>
      </c>
      <c r="P118" s="1045"/>
      <c r="Q118" s="1045"/>
      <c r="R118" s="1045"/>
      <c r="S118" s="1045"/>
      <c r="T118" s="1047" t="s">
        <v>1256</v>
      </c>
    </row>
    <row r="119" spans="1:20" x14ac:dyDescent="0.35">
      <c r="A119" s="1042" t="s">
        <v>1257</v>
      </c>
      <c r="B119" s="1043" t="s">
        <v>1258</v>
      </c>
      <c r="C119" s="1044">
        <v>0</v>
      </c>
      <c r="D119" s="1044">
        <v>2</v>
      </c>
      <c r="E119" s="1044">
        <v>13</v>
      </c>
      <c r="F119" s="1044">
        <v>26</v>
      </c>
      <c r="G119" s="1044">
        <v>30</v>
      </c>
      <c r="H119" s="1044">
        <v>24</v>
      </c>
      <c r="I119" s="1044">
        <v>0</v>
      </c>
      <c r="J119" s="1044">
        <v>0</v>
      </c>
      <c r="K119" s="1044">
        <v>0</v>
      </c>
      <c r="L119" s="1044">
        <v>0</v>
      </c>
      <c r="M119" s="1044">
        <v>71</v>
      </c>
      <c r="N119" s="1044">
        <v>95</v>
      </c>
      <c r="O119" s="1045" t="s">
        <v>1246</v>
      </c>
      <c r="P119" s="1045"/>
      <c r="Q119" s="1045"/>
      <c r="R119" s="1045"/>
      <c r="S119" s="1045"/>
      <c r="T119" s="1046" t="s">
        <v>1259</v>
      </c>
    </row>
    <row r="120" spans="1:20" ht="36" customHeight="1" x14ac:dyDescent="0.35">
      <c r="A120" s="1042" t="s">
        <v>1260</v>
      </c>
      <c r="B120" s="1043" t="s">
        <v>1261</v>
      </c>
      <c r="C120" s="1044">
        <v>0</v>
      </c>
      <c r="D120" s="1044">
        <v>3</v>
      </c>
      <c r="E120" s="1044">
        <v>19</v>
      </c>
      <c r="F120" s="1044">
        <v>67</v>
      </c>
      <c r="G120" s="1044">
        <v>86</v>
      </c>
      <c r="H120" s="1044">
        <v>59</v>
      </c>
      <c r="I120" s="1044">
        <v>35</v>
      </c>
      <c r="J120" s="1044">
        <v>19</v>
      </c>
      <c r="K120" s="1044">
        <v>6</v>
      </c>
      <c r="L120" s="1044">
        <v>0</v>
      </c>
      <c r="M120" s="1044">
        <v>175</v>
      </c>
      <c r="N120" s="1044">
        <v>294</v>
      </c>
      <c r="O120" s="1045" t="s">
        <v>1246</v>
      </c>
      <c r="P120" s="1045"/>
      <c r="Q120" s="1045"/>
      <c r="R120" s="1045"/>
      <c r="S120" s="1045"/>
      <c r="T120" s="1070" t="s">
        <v>1262</v>
      </c>
    </row>
    <row r="121" spans="1:20" x14ac:dyDescent="0.35">
      <c r="A121" s="1042" t="s">
        <v>1263</v>
      </c>
      <c r="B121" s="1043" t="s">
        <v>1264</v>
      </c>
      <c r="C121" s="1044">
        <v>0</v>
      </c>
      <c r="D121" s="1044">
        <v>65</v>
      </c>
      <c r="E121" s="1044">
        <v>150</v>
      </c>
      <c r="F121" s="1044">
        <v>290</v>
      </c>
      <c r="G121" s="1044">
        <v>290</v>
      </c>
      <c r="H121" s="1044">
        <v>290</v>
      </c>
      <c r="I121" s="1044">
        <v>285</v>
      </c>
      <c r="J121" s="1044">
        <v>250</v>
      </c>
      <c r="K121" s="1044">
        <v>220</v>
      </c>
      <c r="L121" s="1044">
        <v>160</v>
      </c>
      <c r="M121" s="1044">
        <v>795</v>
      </c>
      <c r="N121" s="1061">
        <v>2000</v>
      </c>
      <c r="O121" s="1045" t="s">
        <v>1246</v>
      </c>
      <c r="P121" s="1045"/>
      <c r="Q121" s="1045"/>
      <c r="R121" s="1045"/>
      <c r="S121" s="1045"/>
      <c r="T121" s="1047"/>
    </row>
    <row r="122" spans="1:20" x14ac:dyDescent="0.35">
      <c r="A122" s="1042" t="s">
        <v>1265</v>
      </c>
      <c r="B122" s="1043" t="s">
        <v>1266</v>
      </c>
      <c r="C122" s="1044">
        <v>0</v>
      </c>
      <c r="D122" s="1044">
        <v>5</v>
      </c>
      <c r="E122" s="1044">
        <v>20</v>
      </c>
      <c r="F122" s="1044">
        <v>65</v>
      </c>
      <c r="G122" s="1044">
        <v>105</v>
      </c>
      <c r="H122" s="1044">
        <v>140</v>
      </c>
      <c r="I122" s="1044">
        <v>175</v>
      </c>
      <c r="J122" s="1044">
        <v>210</v>
      </c>
      <c r="K122" s="1044">
        <v>150</v>
      </c>
      <c r="L122" s="1044">
        <v>35</v>
      </c>
      <c r="M122" s="1044">
        <v>195</v>
      </c>
      <c r="N122" s="1044">
        <v>905</v>
      </c>
      <c r="O122" s="1075" t="s">
        <v>1246</v>
      </c>
      <c r="P122" s="1075"/>
      <c r="Q122" s="1075"/>
      <c r="R122" s="1075"/>
      <c r="S122" s="1075"/>
      <c r="T122" s="1076"/>
    </row>
    <row r="123" spans="1:20" x14ac:dyDescent="0.35">
      <c r="A123" s="1042" t="s">
        <v>1267</v>
      </c>
      <c r="B123" s="1043" t="s">
        <v>1268</v>
      </c>
      <c r="C123" s="1044">
        <v>0</v>
      </c>
      <c r="D123" s="1044">
        <v>10</v>
      </c>
      <c r="E123" s="1044">
        <v>150</v>
      </c>
      <c r="F123" s="1044">
        <v>300</v>
      </c>
      <c r="G123" s="1044">
        <v>590</v>
      </c>
      <c r="H123" s="1044">
        <v>460</v>
      </c>
      <c r="I123" s="1044">
        <v>295</v>
      </c>
      <c r="J123" s="1044">
        <v>195</v>
      </c>
      <c r="K123" s="1044">
        <v>0</v>
      </c>
      <c r="L123" s="1044">
        <v>0</v>
      </c>
      <c r="M123" s="1061">
        <v>1050</v>
      </c>
      <c r="N123" s="1061">
        <v>2000</v>
      </c>
      <c r="O123" s="1045" t="s">
        <v>1246</v>
      </c>
      <c r="P123" s="1045"/>
      <c r="Q123" s="1045"/>
      <c r="R123" s="1045"/>
      <c r="S123" s="1045"/>
      <c r="T123" s="1047"/>
    </row>
    <row r="124" spans="1:20" x14ac:dyDescent="0.35">
      <c r="A124" s="1042" t="s">
        <v>1269</v>
      </c>
      <c r="B124" s="1043" t="s">
        <v>1270</v>
      </c>
      <c r="C124" s="1044"/>
      <c r="D124" s="1044"/>
      <c r="E124" s="1044"/>
      <c r="F124" s="1044"/>
      <c r="G124" s="1044"/>
      <c r="H124" s="1044"/>
      <c r="I124" s="1044"/>
      <c r="J124" s="1044"/>
      <c r="K124" s="1044"/>
      <c r="L124" s="1044"/>
      <c r="M124" s="1044"/>
      <c r="N124" s="1044"/>
      <c r="O124" s="1045"/>
      <c r="P124" s="1045"/>
      <c r="Q124" s="1045"/>
      <c r="R124" s="1045"/>
      <c r="S124" s="1045"/>
      <c r="T124" s="1047"/>
    </row>
    <row r="125" spans="1:20" ht="24" customHeight="1" x14ac:dyDescent="0.35">
      <c r="A125" s="1059" t="s">
        <v>1271</v>
      </c>
      <c r="B125" s="1060" t="s">
        <v>1272</v>
      </c>
      <c r="C125" s="1063">
        <v>0</v>
      </c>
      <c r="D125" s="1063">
        <v>72</v>
      </c>
      <c r="E125" s="1063">
        <v>123</v>
      </c>
      <c r="F125" s="1063">
        <v>122</v>
      </c>
      <c r="G125" s="1063">
        <v>115</v>
      </c>
      <c r="H125" s="1063">
        <v>55</v>
      </c>
      <c r="I125" s="1063">
        <v>55</v>
      </c>
      <c r="J125" s="1063">
        <v>33</v>
      </c>
      <c r="K125" s="1063">
        <v>0</v>
      </c>
      <c r="L125" s="1063">
        <v>0</v>
      </c>
      <c r="M125" s="1063">
        <v>432</v>
      </c>
      <c r="N125" s="1063">
        <v>575</v>
      </c>
      <c r="O125" s="1044" t="s">
        <v>1246</v>
      </c>
      <c r="P125" s="1044"/>
      <c r="Q125" s="1044"/>
      <c r="R125" s="1044"/>
      <c r="S125" s="1044"/>
      <c r="T125" s="1047"/>
    </row>
    <row r="126" spans="1:20" x14ac:dyDescent="0.35">
      <c r="A126" s="1042" t="s">
        <v>1273</v>
      </c>
      <c r="B126" s="1043" t="s">
        <v>1274</v>
      </c>
      <c r="C126" s="1044">
        <v>0</v>
      </c>
      <c r="D126" s="1044">
        <v>1</v>
      </c>
      <c r="E126" s="1044">
        <v>2</v>
      </c>
      <c r="F126" s="1044">
        <v>2</v>
      </c>
      <c r="G126" s="1044">
        <v>2</v>
      </c>
      <c r="H126" s="1044">
        <v>2</v>
      </c>
      <c r="I126" s="1044">
        <v>2</v>
      </c>
      <c r="J126" s="1044">
        <v>2</v>
      </c>
      <c r="K126" s="1044">
        <v>2</v>
      </c>
      <c r="L126" s="1044">
        <v>1</v>
      </c>
      <c r="M126" s="1044">
        <v>7</v>
      </c>
      <c r="N126" s="1044">
        <v>16</v>
      </c>
      <c r="O126" s="1045" t="s">
        <v>1246</v>
      </c>
      <c r="P126" s="1045"/>
      <c r="Q126" s="1045"/>
      <c r="R126" s="1045"/>
      <c r="S126" s="1045"/>
      <c r="T126" s="1047"/>
    </row>
    <row r="127" spans="1:20" x14ac:dyDescent="0.35">
      <c r="A127" s="1042" t="s">
        <v>1275</v>
      </c>
      <c r="B127" s="1043" t="s">
        <v>1276</v>
      </c>
      <c r="C127" s="1044">
        <v>0</v>
      </c>
      <c r="D127" s="1044">
        <v>49</v>
      </c>
      <c r="E127" s="1044">
        <v>190</v>
      </c>
      <c r="F127" s="1044">
        <v>379</v>
      </c>
      <c r="G127" s="1044">
        <v>531</v>
      </c>
      <c r="H127" s="1044">
        <v>619</v>
      </c>
      <c r="I127" s="1044">
        <v>580</v>
      </c>
      <c r="J127" s="1044">
        <v>387</v>
      </c>
      <c r="K127" s="1044">
        <v>196</v>
      </c>
      <c r="L127" s="1044">
        <v>69</v>
      </c>
      <c r="M127" s="1061">
        <v>1149</v>
      </c>
      <c r="N127" s="1061">
        <v>3000</v>
      </c>
      <c r="O127" s="1045" t="s">
        <v>1246</v>
      </c>
      <c r="P127" s="1045"/>
      <c r="Q127" s="1045"/>
      <c r="R127" s="1045"/>
      <c r="S127" s="1045"/>
      <c r="T127" s="1047"/>
    </row>
    <row r="128" spans="1:20" x14ac:dyDescent="0.35">
      <c r="A128" s="1059" t="s">
        <v>1277</v>
      </c>
      <c r="B128" s="1060" t="s">
        <v>1278</v>
      </c>
      <c r="C128" s="1044">
        <v>0</v>
      </c>
      <c r="D128" s="1044">
        <v>22</v>
      </c>
      <c r="E128" s="1044">
        <v>22</v>
      </c>
      <c r="F128" s="1044">
        <v>6</v>
      </c>
      <c r="G128" s="1044">
        <v>0</v>
      </c>
      <c r="H128" s="1044">
        <v>0</v>
      </c>
      <c r="I128" s="1044">
        <v>0</v>
      </c>
      <c r="J128" s="1044">
        <v>0</v>
      </c>
      <c r="K128" s="1044">
        <v>0</v>
      </c>
      <c r="L128" s="1044">
        <v>0</v>
      </c>
      <c r="M128" s="1044">
        <v>50</v>
      </c>
      <c r="N128" s="1044">
        <v>50</v>
      </c>
      <c r="O128" s="1045" t="s">
        <v>1246</v>
      </c>
      <c r="P128" s="1045"/>
      <c r="Q128" s="1045"/>
      <c r="R128" s="1045"/>
      <c r="S128" s="1045"/>
      <c r="T128" s="1046"/>
    </row>
    <row r="129" spans="1:20" x14ac:dyDescent="0.35">
      <c r="A129" s="1042" t="s">
        <v>1279</v>
      </c>
      <c r="B129" s="1043" t="s">
        <v>1280</v>
      </c>
      <c r="C129" s="1044">
        <v>0</v>
      </c>
      <c r="D129" s="1044">
        <v>30</v>
      </c>
      <c r="E129" s="1044">
        <v>30</v>
      </c>
      <c r="F129" s="1044">
        <v>40</v>
      </c>
      <c r="G129" s="1044">
        <v>15</v>
      </c>
      <c r="H129" s="1044">
        <v>5</v>
      </c>
      <c r="I129" s="1044">
        <v>5</v>
      </c>
      <c r="J129" s="1044">
        <v>0</v>
      </c>
      <c r="K129" s="1044">
        <v>0</v>
      </c>
      <c r="L129" s="1044">
        <v>0</v>
      </c>
      <c r="M129" s="1044">
        <v>115</v>
      </c>
      <c r="N129" s="1044">
        <v>125</v>
      </c>
      <c r="O129" s="1045" t="s">
        <v>1246</v>
      </c>
      <c r="P129" s="1045"/>
      <c r="Q129" s="1045"/>
      <c r="R129" s="1045"/>
      <c r="S129" s="1045"/>
      <c r="T129" s="1047"/>
    </row>
    <row r="130" spans="1:20" x14ac:dyDescent="0.35">
      <c r="A130" s="1042" t="s">
        <v>1281</v>
      </c>
      <c r="B130" s="1043" t="s">
        <v>1282</v>
      </c>
      <c r="C130" s="1044">
        <v>0</v>
      </c>
      <c r="D130" s="1044">
        <v>10</v>
      </c>
      <c r="E130" s="1044">
        <v>230</v>
      </c>
      <c r="F130" s="1044">
        <v>660</v>
      </c>
      <c r="G130" s="1044">
        <v>945</v>
      </c>
      <c r="H130" s="1044">
        <v>605</v>
      </c>
      <c r="I130" s="1044">
        <v>100</v>
      </c>
      <c r="J130" s="1044">
        <v>0</v>
      </c>
      <c r="K130" s="1044">
        <v>0</v>
      </c>
      <c r="L130" s="1044">
        <v>0</v>
      </c>
      <c r="M130" s="1061">
        <v>1845</v>
      </c>
      <c r="N130" s="1061">
        <v>2550</v>
      </c>
      <c r="O130" s="1045" t="s">
        <v>1246</v>
      </c>
      <c r="P130" s="1045"/>
      <c r="Q130" s="1045"/>
      <c r="R130" s="1045"/>
      <c r="S130" s="1045"/>
      <c r="T130" s="1047"/>
    </row>
    <row r="131" spans="1:20" x14ac:dyDescent="0.35">
      <c r="A131" s="1042" t="s">
        <v>1283</v>
      </c>
      <c r="B131" s="1043" t="s">
        <v>1284</v>
      </c>
      <c r="C131" s="1044">
        <v>0</v>
      </c>
      <c r="D131" s="1044">
        <v>10</v>
      </c>
      <c r="E131" s="1044">
        <v>45</v>
      </c>
      <c r="F131" s="1044">
        <v>70</v>
      </c>
      <c r="G131" s="1044">
        <v>100</v>
      </c>
      <c r="H131" s="1044">
        <v>100</v>
      </c>
      <c r="I131" s="1044">
        <v>100</v>
      </c>
      <c r="J131" s="1044">
        <v>100</v>
      </c>
      <c r="K131" s="1044">
        <v>100</v>
      </c>
      <c r="L131" s="1044">
        <v>100</v>
      </c>
      <c r="M131" s="1044">
        <v>225</v>
      </c>
      <c r="N131" s="1044">
        <v>725</v>
      </c>
      <c r="O131" s="1045" t="s">
        <v>1246</v>
      </c>
      <c r="P131" s="1045"/>
      <c r="Q131" s="1045"/>
      <c r="R131" s="1045"/>
      <c r="S131" s="1045"/>
      <c r="T131" s="1047"/>
    </row>
    <row r="132" spans="1:20" x14ac:dyDescent="0.35">
      <c r="A132" s="1059" t="s">
        <v>1285</v>
      </c>
      <c r="B132" s="1060" t="s">
        <v>1286</v>
      </c>
      <c r="C132" s="1044">
        <v>0</v>
      </c>
      <c r="D132" s="1044">
        <v>14</v>
      </c>
      <c r="E132" s="1044">
        <v>11</v>
      </c>
      <c r="F132" s="1044">
        <v>0</v>
      </c>
      <c r="G132" s="1044">
        <v>0</v>
      </c>
      <c r="H132" s="1044">
        <v>0</v>
      </c>
      <c r="I132" s="1044">
        <v>0</v>
      </c>
      <c r="J132" s="1044">
        <v>0</v>
      </c>
      <c r="K132" s="1044">
        <v>0</v>
      </c>
      <c r="L132" s="1044">
        <v>0</v>
      </c>
      <c r="M132" s="1044">
        <v>25</v>
      </c>
      <c r="N132" s="1044">
        <v>25</v>
      </c>
      <c r="O132" s="1045" t="s">
        <v>1250</v>
      </c>
      <c r="P132" s="1045"/>
      <c r="Q132" s="1045"/>
      <c r="R132" s="1045"/>
      <c r="S132" s="1045"/>
      <c r="T132" s="1046"/>
    </row>
    <row r="133" spans="1:20" x14ac:dyDescent="0.35">
      <c r="A133" s="1059" t="s">
        <v>1287</v>
      </c>
      <c r="B133" s="1060" t="s">
        <v>1288</v>
      </c>
      <c r="C133" s="1044">
        <v>0</v>
      </c>
      <c r="D133" s="1044">
        <v>84</v>
      </c>
      <c r="E133" s="1044">
        <v>320</v>
      </c>
      <c r="F133" s="1044">
        <v>638</v>
      </c>
      <c r="G133" s="1044">
        <v>928</v>
      </c>
      <c r="H133" s="1044">
        <v>940</v>
      </c>
      <c r="I133" s="1044">
        <v>720</v>
      </c>
      <c r="J133" s="1044">
        <v>300</v>
      </c>
      <c r="K133" s="1044">
        <v>120</v>
      </c>
      <c r="L133" s="1044">
        <v>0</v>
      </c>
      <c r="M133" s="1061">
        <v>1970</v>
      </c>
      <c r="N133" s="1061">
        <v>4050</v>
      </c>
      <c r="O133" s="1045" t="s">
        <v>1250</v>
      </c>
      <c r="P133" s="1045"/>
      <c r="Q133" s="1045"/>
      <c r="R133" s="1045"/>
      <c r="S133" s="1045"/>
      <c r="T133" s="1047"/>
    </row>
    <row r="134" spans="1:20" x14ac:dyDescent="0.35">
      <c r="A134" s="1042" t="s">
        <v>1289</v>
      </c>
      <c r="B134" s="1043" t="s">
        <v>1290</v>
      </c>
      <c r="C134" s="1044">
        <v>0</v>
      </c>
      <c r="D134" s="1044">
        <v>40</v>
      </c>
      <c r="E134" s="1044">
        <v>200</v>
      </c>
      <c r="F134" s="1044">
        <v>400</v>
      </c>
      <c r="G134" s="1044">
        <v>660</v>
      </c>
      <c r="H134" s="1044">
        <v>640</v>
      </c>
      <c r="I134" s="1044">
        <v>515</v>
      </c>
      <c r="J134" s="1044">
        <v>240</v>
      </c>
      <c r="K134" s="1044">
        <v>105</v>
      </c>
      <c r="L134" s="1044">
        <v>0</v>
      </c>
      <c r="M134" s="1061">
        <v>1300</v>
      </c>
      <c r="N134" s="1061">
        <v>2800</v>
      </c>
      <c r="O134" s="1045" t="s">
        <v>1250</v>
      </c>
      <c r="P134" s="1045"/>
      <c r="Q134" s="1045"/>
      <c r="R134" s="1045"/>
      <c r="S134" s="1045"/>
      <c r="T134" s="1047"/>
    </row>
    <row r="135" spans="1:20" x14ac:dyDescent="0.35">
      <c r="A135" s="1042" t="s">
        <v>1291</v>
      </c>
      <c r="B135" s="1043" t="s">
        <v>1292</v>
      </c>
      <c r="C135" s="1077">
        <v>0</v>
      </c>
      <c r="D135" s="1077">
        <v>138</v>
      </c>
      <c r="E135" s="1077">
        <v>566</v>
      </c>
      <c r="F135" s="1077">
        <v>994</v>
      </c>
      <c r="G135" s="1078">
        <v>1328</v>
      </c>
      <c r="H135" s="1078">
        <v>1791</v>
      </c>
      <c r="I135" s="1078">
        <v>2350</v>
      </c>
      <c r="J135" s="1078">
        <v>2928</v>
      </c>
      <c r="K135" s="1078">
        <v>3548</v>
      </c>
      <c r="L135" s="1078">
        <v>4162</v>
      </c>
      <c r="M135" s="1078">
        <v>3026</v>
      </c>
      <c r="N135" s="1078">
        <v>17805</v>
      </c>
      <c r="O135" s="1079" t="s">
        <v>54</v>
      </c>
      <c r="P135" s="1079"/>
      <c r="Q135" s="1079"/>
      <c r="R135" s="1079"/>
      <c r="S135" s="1079"/>
      <c r="T135" s="1080"/>
    </row>
    <row r="136" spans="1:20" x14ac:dyDescent="0.35">
      <c r="A136" s="1042" t="s">
        <v>1293</v>
      </c>
      <c r="B136" s="1043" t="s">
        <v>1294</v>
      </c>
      <c r="C136" s="1077">
        <v>0</v>
      </c>
      <c r="D136" s="1077">
        <v>0</v>
      </c>
      <c r="E136" s="1077">
        <v>235</v>
      </c>
      <c r="F136" s="1077">
        <v>317</v>
      </c>
      <c r="G136" s="1077">
        <v>304</v>
      </c>
      <c r="H136" s="1077">
        <v>314</v>
      </c>
      <c r="I136" s="1077">
        <v>324</v>
      </c>
      <c r="J136" s="1077">
        <v>335</v>
      </c>
      <c r="K136" s="1077">
        <v>346</v>
      </c>
      <c r="L136" s="1077">
        <v>359</v>
      </c>
      <c r="M136" s="1077">
        <v>856</v>
      </c>
      <c r="N136" s="1078">
        <v>2534</v>
      </c>
      <c r="O136" s="1079" t="s">
        <v>54</v>
      </c>
      <c r="P136" s="1079"/>
      <c r="Q136" s="1079"/>
      <c r="R136" s="1079"/>
      <c r="S136" s="1079"/>
      <c r="T136" s="1047"/>
    </row>
    <row r="137" spans="1:20" ht="24" customHeight="1" x14ac:dyDescent="0.35">
      <c r="A137" s="1042" t="s">
        <v>1295</v>
      </c>
      <c r="B137" s="1043" t="s">
        <v>1296</v>
      </c>
      <c r="C137" s="1081"/>
      <c r="D137" s="1081">
        <v>333</v>
      </c>
      <c r="E137" s="1081">
        <v>314</v>
      </c>
      <c r="F137" s="1081">
        <v>314</v>
      </c>
      <c r="G137" s="1081">
        <v>-4530</v>
      </c>
      <c r="H137" s="1081">
        <v>-9118</v>
      </c>
      <c r="I137" s="1081">
        <v>-18184</v>
      </c>
      <c r="J137" s="1081">
        <v>-20493</v>
      </c>
      <c r="K137" s="1081">
        <v>-23289</v>
      </c>
      <c r="L137" s="1081">
        <v>-24298</v>
      </c>
      <c r="M137" s="1081">
        <v>-569</v>
      </c>
      <c r="N137" s="1081">
        <v>-95951</v>
      </c>
      <c r="O137" s="1082" t="s">
        <v>55</v>
      </c>
      <c r="P137" s="1082"/>
      <c r="Q137" s="1082"/>
      <c r="R137" s="1082"/>
      <c r="S137" s="1082"/>
      <c r="T137" s="1083"/>
    </row>
    <row r="138" spans="1:20" ht="36" customHeight="1" x14ac:dyDescent="0.35">
      <c r="A138" s="1042" t="s">
        <v>1291</v>
      </c>
      <c r="B138" s="1043" t="s">
        <v>1297</v>
      </c>
      <c r="C138" s="1084">
        <v>0</v>
      </c>
      <c r="D138" s="1084">
        <v>-2447</v>
      </c>
      <c r="E138" s="1084">
        <v>-3716</v>
      </c>
      <c r="F138" s="1084">
        <v>-19171</v>
      </c>
      <c r="G138" s="1084">
        <v>-7014</v>
      </c>
      <c r="H138" s="1084">
        <v>-7706</v>
      </c>
      <c r="I138" s="1084">
        <v>-8497</v>
      </c>
      <c r="J138" s="1084">
        <v>-9360</v>
      </c>
      <c r="K138" s="1084">
        <v>-10602</v>
      </c>
      <c r="L138" s="1084">
        <v>-11603</v>
      </c>
      <c r="M138" s="1084">
        <v>-32348</v>
      </c>
      <c r="N138" s="1084">
        <v>-80116</v>
      </c>
      <c r="O138" s="1082" t="s">
        <v>55</v>
      </c>
      <c r="P138" s="1082"/>
      <c r="Q138" s="1082"/>
      <c r="R138" s="1082"/>
      <c r="S138" s="1082"/>
      <c r="T138" s="1047"/>
    </row>
    <row r="139" spans="1:20" x14ac:dyDescent="0.35">
      <c r="A139" s="1042" t="s">
        <v>1298</v>
      </c>
      <c r="B139" s="1043" t="s">
        <v>1299</v>
      </c>
      <c r="C139" s="1081">
        <v>0</v>
      </c>
      <c r="D139" s="1081">
        <v>53</v>
      </c>
      <c r="E139" s="1081">
        <v>1991</v>
      </c>
      <c r="F139" s="1081">
        <v>3308</v>
      </c>
      <c r="G139" s="1081">
        <v>3545</v>
      </c>
      <c r="H139" s="1081">
        <v>4537</v>
      </c>
      <c r="I139" s="1081">
        <v>4476</v>
      </c>
      <c r="J139" s="1081">
        <v>3947</v>
      </c>
      <c r="K139" s="1081">
        <v>1781</v>
      </c>
      <c r="L139" s="1081">
        <v>1462</v>
      </c>
      <c r="M139" s="1081">
        <v>8897</v>
      </c>
      <c r="N139" s="1081">
        <v>25100</v>
      </c>
      <c r="O139" s="1082" t="s">
        <v>55</v>
      </c>
      <c r="P139" s="1082"/>
      <c r="Q139" s="1082"/>
      <c r="R139" s="1082"/>
      <c r="S139" s="1082"/>
      <c r="T139" s="1047"/>
    </row>
    <row r="140" spans="1:20" x14ac:dyDescent="0.35">
      <c r="A140" s="1042" t="s">
        <v>1300</v>
      </c>
      <c r="B140" s="1043" t="s">
        <v>1301</v>
      </c>
      <c r="C140" s="1085">
        <v>0</v>
      </c>
      <c r="D140" s="1085">
        <v>0</v>
      </c>
      <c r="E140" s="1085">
        <v>0</v>
      </c>
      <c r="F140" s="1085">
        <v>0</v>
      </c>
      <c r="G140" s="1085">
        <v>0</v>
      </c>
      <c r="H140" s="1086">
        <v>-16290</v>
      </c>
      <c r="I140" s="1086">
        <v>-25656</v>
      </c>
      <c r="J140" s="1086">
        <v>-23394</v>
      </c>
      <c r="K140" s="1086">
        <v>-27561</v>
      </c>
      <c r="L140" s="1086">
        <v>-29250</v>
      </c>
      <c r="M140" s="1085">
        <v>0</v>
      </c>
      <c r="N140" s="1086">
        <v>-122151</v>
      </c>
      <c r="O140" s="1082" t="s">
        <v>55</v>
      </c>
      <c r="P140" s="1082"/>
      <c r="Q140" s="1082"/>
      <c r="R140" s="1082"/>
      <c r="S140" s="1082"/>
      <c r="T140" s="1047"/>
    </row>
    <row r="141" spans="1:20" ht="36" customHeight="1" x14ac:dyDescent="0.35">
      <c r="A141" s="1042" t="s">
        <v>1302</v>
      </c>
      <c r="B141" s="1043" t="s">
        <v>1303</v>
      </c>
      <c r="C141" s="1081">
        <v>0</v>
      </c>
      <c r="D141" s="1081">
        <v>-70</v>
      </c>
      <c r="E141" s="1081">
        <v>300</v>
      </c>
      <c r="F141" s="1081">
        <v>862</v>
      </c>
      <c r="G141" s="1081">
        <v>577</v>
      </c>
      <c r="H141" s="1081">
        <v>464</v>
      </c>
      <c r="I141" s="1081">
        <v>549</v>
      </c>
      <c r="J141" s="1081">
        <v>501</v>
      </c>
      <c r="K141" s="1081">
        <v>591</v>
      </c>
      <c r="L141" s="1081">
        <v>630</v>
      </c>
      <c r="M141" s="1081">
        <v>1669</v>
      </c>
      <c r="N141" s="1081">
        <v>4404</v>
      </c>
      <c r="O141" s="1082" t="s">
        <v>55</v>
      </c>
      <c r="P141" s="1082"/>
      <c r="Q141" s="1082"/>
      <c r="R141" s="1082"/>
      <c r="S141" s="1082"/>
      <c r="T141" s="1047"/>
    </row>
    <row r="142" spans="1:20" x14ac:dyDescent="0.35">
      <c r="A142" s="1042" t="s">
        <v>1304</v>
      </c>
      <c r="B142" s="1043" t="s">
        <v>1305</v>
      </c>
      <c r="C142" s="1085">
        <v>0</v>
      </c>
      <c r="D142" s="1085">
        <v>0</v>
      </c>
      <c r="E142" s="1085">
        <v>195</v>
      </c>
      <c r="F142" s="1085">
        <v>230</v>
      </c>
      <c r="G142" s="1085">
        <v>248</v>
      </c>
      <c r="H142" s="1085">
        <v>266</v>
      </c>
      <c r="I142" s="1085">
        <v>311</v>
      </c>
      <c r="J142" s="1085">
        <v>281</v>
      </c>
      <c r="K142" s="1085">
        <v>327</v>
      </c>
      <c r="L142" s="1085">
        <v>347</v>
      </c>
      <c r="M142" s="1085">
        <v>673</v>
      </c>
      <c r="N142" s="1086">
        <v>2205</v>
      </c>
      <c r="O142" s="1082" t="s">
        <v>55</v>
      </c>
      <c r="P142" s="1082"/>
      <c r="Q142" s="1082"/>
      <c r="R142" s="1082"/>
      <c r="S142" s="1082"/>
      <c r="T142" s="1047"/>
    </row>
    <row r="143" spans="1:20" x14ac:dyDescent="0.35">
      <c r="A143" s="1059" t="s">
        <v>1306</v>
      </c>
      <c r="B143" s="1060" t="s">
        <v>1307</v>
      </c>
      <c r="C143" s="1087">
        <v>0</v>
      </c>
      <c r="D143" s="1087">
        <v>70</v>
      </c>
      <c r="E143" s="1087">
        <v>132</v>
      </c>
      <c r="F143" s="1087">
        <v>51</v>
      </c>
      <c r="G143" s="1087">
        <v>20</v>
      </c>
      <c r="H143" s="1087">
        <v>8</v>
      </c>
      <c r="I143" s="1087">
        <v>0</v>
      </c>
      <c r="J143" s="1087">
        <v>0</v>
      </c>
      <c r="K143" s="1087">
        <v>0</v>
      </c>
      <c r="L143" s="1087">
        <v>0</v>
      </c>
      <c r="M143" s="1087">
        <v>273</v>
      </c>
      <c r="N143" s="1087">
        <v>281</v>
      </c>
      <c r="O143" s="1088" t="s">
        <v>1308</v>
      </c>
      <c r="P143" s="1088"/>
      <c r="Q143" s="1088"/>
      <c r="R143" s="1088"/>
      <c r="S143" s="1088"/>
      <c r="T143" s="1047" t="s">
        <v>1309</v>
      </c>
    </row>
    <row r="144" spans="1:20" x14ac:dyDescent="0.35">
      <c r="A144" s="1059" t="s">
        <v>1310</v>
      </c>
      <c r="B144" s="1060" t="s">
        <v>1311</v>
      </c>
      <c r="C144" s="1087">
        <v>0</v>
      </c>
      <c r="D144" s="1087">
        <v>465</v>
      </c>
      <c r="E144" s="1089">
        <v>2420</v>
      </c>
      <c r="F144" s="1089">
        <v>4755</v>
      </c>
      <c r="G144" s="1089">
        <v>5980</v>
      </c>
      <c r="H144" s="1089">
        <v>4694</v>
      </c>
      <c r="I144" s="1089">
        <v>1573</v>
      </c>
      <c r="J144" s="1087">
        <v>93</v>
      </c>
      <c r="K144" s="1087">
        <v>0</v>
      </c>
      <c r="L144" s="1087">
        <v>0</v>
      </c>
      <c r="M144" s="1089">
        <v>13620</v>
      </c>
      <c r="N144" s="1089">
        <v>19980</v>
      </c>
      <c r="O144" s="1088" t="s">
        <v>1308</v>
      </c>
      <c r="P144" s="1088"/>
      <c r="Q144" s="1088"/>
      <c r="R144" s="1088"/>
      <c r="S144" s="1088"/>
      <c r="T144" s="1047" t="s">
        <v>1312</v>
      </c>
    </row>
    <row r="145" spans="1:20" x14ac:dyDescent="0.35">
      <c r="A145" s="1042" t="s">
        <v>1313</v>
      </c>
      <c r="B145" s="1043" t="s">
        <v>1314</v>
      </c>
      <c r="C145" s="1087">
        <v>0</v>
      </c>
      <c r="D145" s="1087">
        <v>20</v>
      </c>
      <c r="E145" s="1087">
        <v>65</v>
      </c>
      <c r="F145" s="1087">
        <v>110</v>
      </c>
      <c r="G145" s="1087">
        <v>135</v>
      </c>
      <c r="H145" s="1087">
        <v>180</v>
      </c>
      <c r="I145" s="1087">
        <v>230</v>
      </c>
      <c r="J145" s="1087">
        <v>180</v>
      </c>
      <c r="K145" s="1087">
        <v>60</v>
      </c>
      <c r="L145" s="1087">
        <v>10</v>
      </c>
      <c r="M145" s="1087">
        <v>330</v>
      </c>
      <c r="N145" s="1087">
        <v>990</v>
      </c>
      <c r="O145" s="1088" t="s">
        <v>1308</v>
      </c>
      <c r="P145" s="1088"/>
      <c r="Q145" s="1088"/>
      <c r="R145" s="1088"/>
      <c r="S145" s="1088"/>
      <c r="T145" s="1070" t="s">
        <v>1315</v>
      </c>
    </row>
    <row r="146" spans="1:20" x14ac:dyDescent="0.35">
      <c r="A146" s="1042" t="s">
        <v>1316</v>
      </c>
      <c r="B146" s="1043" t="s">
        <v>1317</v>
      </c>
      <c r="C146" s="1087">
        <v>0</v>
      </c>
      <c r="D146" s="1089">
        <v>20892</v>
      </c>
      <c r="E146" s="1089">
        <v>11288</v>
      </c>
      <c r="F146" s="1089">
        <v>9651</v>
      </c>
      <c r="G146" s="1089">
        <v>-8548</v>
      </c>
      <c r="H146" s="1087">
        <v>-463</v>
      </c>
      <c r="I146" s="1087">
        <v>0</v>
      </c>
      <c r="J146" s="1087">
        <v>0</v>
      </c>
      <c r="K146" s="1087">
        <v>0</v>
      </c>
      <c r="L146" s="1087">
        <v>0</v>
      </c>
      <c r="M146" s="1089">
        <v>33283</v>
      </c>
      <c r="N146" s="1089">
        <v>32820</v>
      </c>
      <c r="O146" s="1090" t="s">
        <v>1308</v>
      </c>
      <c r="P146" s="1090"/>
      <c r="Q146" s="1090"/>
      <c r="R146" s="1090"/>
      <c r="S146" s="1090"/>
      <c r="T146" s="1047"/>
    </row>
    <row r="147" spans="1:20" x14ac:dyDescent="0.35">
      <c r="A147" s="1042" t="s">
        <v>1318</v>
      </c>
      <c r="B147" s="1043" t="s">
        <v>1319</v>
      </c>
      <c r="C147" s="1087">
        <v>0</v>
      </c>
      <c r="D147" s="1087">
        <v>24</v>
      </c>
      <c r="E147" s="1087">
        <v>65</v>
      </c>
      <c r="F147" s="1087">
        <v>112</v>
      </c>
      <c r="G147" s="1087">
        <v>130</v>
      </c>
      <c r="H147" s="1087">
        <v>98</v>
      </c>
      <c r="I147" s="1087">
        <v>56</v>
      </c>
      <c r="J147" s="1087">
        <v>15</v>
      </c>
      <c r="K147" s="1087">
        <v>0</v>
      </c>
      <c r="L147" s="1087">
        <v>0</v>
      </c>
      <c r="M147" s="1087">
        <v>331</v>
      </c>
      <c r="N147" s="1087">
        <v>500</v>
      </c>
      <c r="O147" s="1090" t="s">
        <v>1308</v>
      </c>
      <c r="P147" s="1090"/>
      <c r="Q147" s="1090"/>
      <c r="R147" s="1090"/>
      <c r="S147" s="1090"/>
      <c r="T147" s="1047"/>
    </row>
    <row r="148" spans="1:20" x14ac:dyDescent="0.35">
      <c r="A148" s="1091" t="s">
        <v>1320</v>
      </c>
      <c r="B148" s="1092" t="s">
        <v>1321</v>
      </c>
      <c r="C148" s="1087">
        <v>0</v>
      </c>
      <c r="D148" s="1087">
        <v>50</v>
      </c>
      <c r="E148" s="1087">
        <v>500</v>
      </c>
      <c r="F148" s="1087">
        <v>920</v>
      </c>
      <c r="G148" s="1089">
        <v>1310</v>
      </c>
      <c r="H148" s="1089">
        <v>1680</v>
      </c>
      <c r="I148" s="1089">
        <v>1780</v>
      </c>
      <c r="J148" s="1089">
        <v>1640</v>
      </c>
      <c r="K148" s="1089">
        <v>1090</v>
      </c>
      <c r="L148" s="1087">
        <v>630</v>
      </c>
      <c r="M148" s="1089">
        <v>2780</v>
      </c>
      <c r="N148" s="1089">
        <v>9600</v>
      </c>
      <c r="O148" s="1090" t="s">
        <v>1308</v>
      </c>
      <c r="P148" s="1090"/>
      <c r="Q148" s="1090"/>
      <c r="R148" s="1090"/>
      <c r="S148" s="1090"/>
      <c r="T148" s="1093"/>
    </row>
    <row r="149" spans="1:20" x14ac:dyDescent="0.35">
      <c r="A149" s="1042" t="s">
        <v>1322</v>
      </c>
      <c r="B149" s="1043" t="s">
        <v>1323</v>
      </c>
      <c r="C149" s="1087">
        <v>0</v>
      </c>
      <c r="D149" s="1087">
        <v>30</v>
      </c>
      <c r="E149" s="1087">
        <v>90</v>
      </c>
      <c r="F149" s="1087">
        <v>90</v>
      </c>
      <c r="G149" s="1087">
        <v>85</v>
      </c>
      <c r="H149" s="1087">
        <v>70</v>
      </c>
      <c r="I149" s="1087">
        <v>65</v>
      </c>
      <c r="J149" s="1087">
        <v>65</v>
      </c>
      <c r="K149" s="1087">
        <v>35</v>
      </c>
      <c r="L149" s="1087">
        <v>15</v>
      </c>
      <c r="M149" s="1087">
        <v>295</v>
      </c>
      <c r="N149" s="1087">
        <v>545</v>
      </c>
      <c r="O149" s="1090" t="s">
        <v>1308</v>
      </c>
      <c r="P149" s="1090"/>
      <c r="Q149" s="1090"/>
      <c r="R149" s="1090"/>
      <c r="S149" s="1090"/>
      <c r="T149" s="1047"/>
    </row>
    <row r="150" spans="1:20" x14ac:dyDescent="0.35">
      <c r="A150" s="1042" t="s">
        <v>1324</v>
      </c>
      <c r="B150" s="1043" t="s">
        <v>1325</v>
      </c>
      <c r="C150" s="1087">
        <v>0</v>
      </c>
      <c r="D150" s="1087">
        <v>185</v>
      </c>
      <c r="E150" s="1087">
        <v>394</v>
      </c>
      <c r="F150" s="1087">
        <v>639</v>
      </c>
      <c r="G150" s="1087">
        <v>722</v>
      </c>
      <c r="H150" s="1087">
        <v>595</v>
      </c>
      <c r="I150" s="1087">
        <v>346</v>
      </c>
      <c r="J150" s="1087">
        <v>101</v>
      </c>
      <c r="K150" s="1087">
        <v>18</v>
      </c>
      <c r="L150" s="1087">
        <v>0</v>
      </c>
      <c r="M150" s="1089">
        <v>1940</v>
      </c>
      <c r="N150" s="1089">
        <v>3000</v>
      </c>
      <c r="O150" s="1088" t="s">
        <v>1308</v>
      </c>
      <c r="P150" s="1088"/>
      <c r="Q150" s="1088"/>
      <c r="R150" s="1088"/>
      <c r="S150" s="1088"/>
      <c r="T150" s="1047"/>
    </row>
    <row r="151" spans="1:20" x14ac:dyDescent="0.35">
      <c r="A151" s="1042" t="s">
        <v>1326</v>
      </c>
      <c r="B151" s="1043" t="s">
        <v>1327</v>
      </c>
      <c r="C151" s="1087">
        <v>0</v>
      </c>
      <c r="D151" s="1087">
        <v>8</v>
      </c>
      <c r="E151" s="1087">
        <v>26</v>
      </c>
      <c r="F151" s="1087">
        <v>41</v>
      </c>
      <c r="G151" s="1087">
        <v>38</v>
      </c>
      <c r="H151" s="1087">
        <v>22</v>
      </c>
      <c r="I151" s="1087">
        <v>11</v>
      </c>
      <c r="J151" s="1087">
        <v>4</v>
      </c>
      <c r="K151" s="1087">
        <v>0</v>
      </c>
      <c r="L151" s="1087">
        <v>0</v>
      </c>
      <c r="M151" s="1087">
        <v>113</v>
      </c>
      <c r="N151" s="1087">
        <v>150</v>
      </c>
      <c r="O151" s="1088" t="s">
        <v>1308</v>
      </c>
      <c r="P151" s="1088"/>
      <c r="Q151" s="1088"/>
      <c r="R151" s="1088"/>
      <c r="S151" s="1088"/>
      <c r="T151" s="1047"/>
    </row>
    <row r="152" spans="1:20" ht="24" customHeight="1" x14ac:dyDescent="0.35">
      <c r="A152" s="1059" t="s">
        <v>1328</v>
      </c>
      <c r="B152" s="1060" t="s">
        <v>1329</v>
      </c>
      <c r="C152" s="1094">
        <v>0</v>
      </c>
      <c r="D152" s="1095">
        <v>77</v>
      </c>
      <c r="E152" s="1095">
        <v>232</v>
      </c>
      <c r="F152" s="1095">
        <v>341</v>
      </c>
      <c r="G152" s="1095">
        <v>496</v>
      </c>
      <c r="H152" s="1095">
        <v>310</v>
      </c>
      <c r="I152" s="1095">
        <v>47</v>
      </c>
      <c r="J152" s="1095">
        <v>31</v>
      </c>
      <c r="K152" s="1095">
        <v>15</v>
      </c>
      <c r="L152" s="1095">
        <v>1</v>
      </c>
      <c r="M152" s="1096">
        <v>1146</v>
      </c>
      <c r="N152" s="1096">
        <v>1550</v>
      </c>
      <c r="O152" s="1097" t="s">
        <v>1330</v>
      </c>
      <c r="P152" s="1104"/>
      <c r="Q152" s="1104"/>
      <c r="R152" s="1104"/>
      <c r="S152" s="1104"/>
      <c r="T152" s="1047" t="s">
        <v>1331</v>
      </c>
    </row>
    <row r="153" spans="1:20" ht="30" customHeight="1" x14ac:dyDescent="0.35">
      <c r="A153" s="1042" t="s">
        <v>1332</v>
      </c>
      <c r="B153" s="1043" t="s">
        <v>1333</v>
      </c>
      <c r="C153" s="1098">
        <v>0</v>
      </c>
      <c r="D153" s="1098">
        <v>264</v>
      </c>
      <c r="E153" s="1098">
        <v>715</v>
      </c>
      <c r="F153" s="1098">
        <v>1393</v>
      </c>
      <c r="G153" s="1098">
        <v>2492</v>
      </c>
      <c r="H153" s="1098">
        <v>3364</v>
      </c>
      <c r="I153" s="1098">
        <v>3209</v>
      </c>
      <c r="J153" s="1098">
        <v>2750</v>
      </c>
      <c r="K153" s="1098">
        <v>1783</v>
      </c>
      <c r="L153" s="1098">
        <v>744</v>
      </c>
      <c r="M153" s="1099">
        <v>4864</v>
      </c>
      <c r="N153" s="1099">
        <v>16714</v>
      </c>
      <c r="O153" s="1105" t="s">
        <v>52</v>
      </c>
      <c r="P153" s="1105"/>
      <c r="Q153" s="1105"/>
      <c r="R153" s="1105"/>
      <c r="S153" s="1105"/>
      <c r="T153" s="1106" t="s">
        <v>1334</v>
      </c>
    </row>
    <row r="154" spans="1:20" x14ac:dyDescent="0.35">
      <c r="A154" s="1042" t="s">
        <v>1335</v>
      </c>
      <c r="B154" s="1043" t="s">
        <v>1336</v>
      </c>
      <c r="C154" s="1107">
        <v>0</v>
      </c>
      <c r="D154" s="1107">
        <v>0</v>
      </c>
      <c r="E154" s="1107">
        <v>50</v>
      </c>
      <c r="F154" s="1107">
        <v>270</v>
      </c>
      <c r="G154" s="1107">
        <v>680</v>
      </c>
      <c r="H154" s="1107">
        <v>850</v>
      </c>
      <c r="I154" s="1107">
        <v>730</v>
      </c>
      <c r="J154" s="1107">
        <v>485</v>
      </c>
      <c r="K154" s="1107">
        <v>285</v>
      </c>
      <c r="L154" s="1107">
        <v>145</v>
      </c>
      <c r="M154" s="1108">
        <v>1000</v>
      </c>
      <c r="N154" s="1108">
        <v>3495</v>
      </c>
      <c r="O154" s="1109" t="s">
        <v>52</v>
      </c>
      <c r="P154" s="1109"/>
      <c r="Q154" s="1109"/>
      <c r="R154" s="1109"/>
      <c r="S154" s="1109"/>
      <c r="T154" s="1110" t="s">
        <v>1337</v>
      </c>
    </row>
    <row r="155" spans="1:20" x14ac:dyDescent="0.35">
      <c r="A155" s="1042" t="s">
        <v>1338</v>
      </c>
      <c r="B155" s="1043" t="s">
        <v>1339</v>
      </c>
      <c r="C155" s="1107">
        <v>0</v>
      </c>
      <c r="D155" s="1107">
        <v>5</v>
      </c>
      <c r="E155" s="1107">
        <v>5</v>
      </c>
      <c r="F155" s="1107">
        <v>10</v>
      </c>
      <c r="G155" s="1107">
        <v>25</v>
      </c>
      <c r="H155" s="1107">
        <v>70</v>
      </c>
      <c r="I155" s="1107">
        <v>175</v>
      </c>
      <c r="J155" s="1107">
        <v>385</v>
      </c>
      <c r="K155" s="1107">
        <v>460</v>
      </c>
      <c r="L155" s="1107">
        <v>325</v>
      </c>
      <c r="M155" s="1107">
        <v>45</v>
      </c>
      <c r="N155" s="1108">
        <v>1460</v>
      </c>
      <c r="O155" s="1111" t="s">
        <v>52</v>
      </c>
      <c r="P155" s="1111"/>
      <c r="Q155" s="1111"/>
      <c r="R155" s="1111"/>
      <c r="S155" s="1111"/>
      <c r="T155" s="1110" t="s">
        <v>1340</v>
      </c>
    </row>
    <row r="156" spans="1:20" x14ac:dyDescent="0.35">
      <c r="A156" s="1059" t="s">
        <v>1341</v>
      </c>
      <c r="B156" s="1060" t="s">
        <v>1342</v>
      </c>
      <c r="C156" s="1107">
        <v>0</v>
      </c>
      <c r="D156" s="1107">
        <v>6</v>
      </c>
      <c r="E156" s="1107">
        <v>8</v>
      </c>
      <c r="F156" s="1107">
        <v>1</v>
      </c>
      <c r="G156" s="1107">
        <v>0</v>
      </c>
      <c r="H156" s="1107">
        <v>0</v>
      </c>
      <c r="I156" s="1107">
        <v>0</v>
      </c>
      <c r="J156" s="1107">
        <v>0</v>
      </c>
      <c r="K156" s="1107">
        <v>0</v>
      </c>
      <c r="L156" s="1107">
        <v>0</v>
      </c>
      <c r="M156" s="1107">
        <v>15</v>
      </c>
      <c r="N156" s="1107">
        <v>15</v>
      </c>
      <c r="O156" s="1111" t="s">
        <v>52</v>
      </c>
      <c r="P156" s="1111"/>
      <c r="Q156" s="1111"/>
      <c r="R156" s="1111"/>
      <c r="S156" s="1111"/>
      <c r="T156" s="1110" t="s">
        <v>1343</v>
      </c>
    </row>
    <row r="157" spans="1:20" ht="24" customHeight="1" x14ac:dyDescent="0.35">
      <c r="A157" s="1042" t="s">
        <v>1344</v>
      </c>
      <c r="B157" s="1043" t="s">
        <v>1345</v>
      </c>
      <c r="C157" s="1107">
        <v>0</v>
      </c>
      <c r="D157" s="1107">
        <v>5</v>
      </c>
      <c r="E157" s="1107">
        <v>41</v>
      </c>
      <c r="F157" s="1107">
        <v>116</v>
      </c>
      <c r="G157" s="1107">
        <v>284</v>
      </c>
      <c r="H157" s="1107">
        <v>417</v>
      </c>
      <c r="I157" s="1107">
        <v>459</v>
      </c>
      <c r="J157" s="1107">
        <v>355</v>
      </c>
      <c r="K157" s="1107">
        <v>210</v>
      </c>
      <c r="L157" s="1107">
        <v>90</v>
      </c>
      <c r="M157" s="1107">
        <v>446</v>
      </c>
      <c r="N157" s="1108">
        <v>1977</v>
      </c>
      <c r="O157" s="1112" t="s">
        <v>52</v>
      </c>
      <c r="P157" s="1112"/>
      <c r="Q157" s="1112"/>
      <c r="R157" s="1112"/>
      <c r="S157" s="1112"/>
      <c r="T157" s="1113" t="s">
        <v>1346</v>
      </c>
    </row>
    <row r="158" spans="1:20" ht="24" customHeight="1" x14ac:dyDescent="0.35">
      <c r="A158" s="1042" t="s">
        <v>1347</v>
      </c>
      <c r="B158" s="1043" t="s">
        <v>1348</v>
      </c>
      <c r="C158" s="1107">
        <v>0</v>
      </c>
      <c r="D158" s="1107">
        <v>20</v>
      </c>
      <c r="E158" s="1107">
        <v>100</v>
      </c>
      <c r="F158" s="1107">
        <v>460</v>
      </c>
      <c r="G158" s="1108">
        <v>1070</v>
      </c>
      <c r="H158" s="1108">
        <v>1430</v>
      </c>
      <c r="I158" s="1108">
        <v>1110</v>
      </c>
      <c r="J158" s="1107">
        <v>660</v>
      </c>
      <c r="K158" s="1107">
        <v>300</v>
      </c>
      <c r="L158" s="1107">
        <v>100</v>
      </c>
      <c r="M158" s="1108">
        <v>1650</v>
      </c>
      <c r="N158" s="1108">
        <v>5250</v>
      </c>
      <c r="O158" s="1111" t="s">
        <v>52</v>
      </c>
      <c r="P158" s="1111"/>
      <c r="Q158" s="1111"/>
      <c r="R158" s="1111"/>
      <c r="S158" s="1111"/>
      <c r="T158" s="1110" t="s">
        <v>1349</v>
      </c>
    </row>
    <row r="159" spans="1:20" x14ac:dyDescent="0.35">
      <c r="A159" s="1042" t="s">
        <v>1350</v>
      </c>
      <c r="B159" s="1043" t="s">
        <v>1351</v>
      </c>
      <c r="C159" s="1125">
        <v>0</v>
      </c>
      <c r="D159" s="1125">
        <v>56</v>
      </c>
      <c r="E159" s="1125">
        <v>141</v>
      </c>
      <c r="F159" s="1125">
        <v>230</v>
      </c>
      <c r="G159" s="1125">
        <v>343</v>
      </c>
      <c r="H159" s="1125">
        <v>470</v>
      </c>
      <c r="I159" s="1125">
        <v>620</v>
      </c>
      <c r="J159" s="1125">
        <v>802</v>
      </c>
      <c r="K159" s="1125">
        <v>1024</v>
      </c>
      <c r="L159" s="1125">
        <v>1330</v>
      </c>
      <c r="M159" s="1125">
        <v>769</v>
      </c>
      <c r="N159" s="1125">
        <v>5015</v>
      </c>
      <c r="O159" s="1109" t="s">
        <v>52</v>
      </c>
      <c r="P159" s="1109"/>
      <c r="Q159" s="1109"/>
      <c r="R159" s="1109"/>
      <c r="S159" s="1109"/>
      <c r="T159" s="1047"/>
    </row>
    <row r="160" spans="1:20" x14ac:dyDescent="0.35">
      <c r="A160" s="1042" t="s">
        <v>1352</v>
      </c>
      <c r="B160" s="1043" t="s">
        <v>1353</v>
      </c>
      <c r="C160" s="1107"/>
      <c r="D160" s="1107"/>
      <c r="E160" s="1107"/>
      <c r="F160" s="1107"/>
      <c r="G160" s="1107"/>
      <c r="H160" s="1107"/>
      <c r="I160" s="1107"/>
      <c r="J160" s="1107"/>
      <c r="K160" s="1107"/>
      <c r="L160" s="1107"/>
      <c r="M160" s="1107"/>
      <c r="N160" s="1108"/>
      <c r="O160" s="1112"/>
      <c r="P160" s="1112"/>
      <c r="Q160" s="1112"/>
      <c r="R160" s="1112"/>
      <c r="S160" s="1112"/>
      <c r="T160" s="1047"/>
    </row>
    <row r="161" spans="1:21" x14ac:dyDescent="0.35">
      <c r="A161" s="1042" t="s">
        <v>1354</v>
      </c>
      <c r="B161" s="1043" t="s">
        <v>1355</v>
      </c>
      <c r="C161" s="1107"/>
      <c r="D161" s="1107"/>
      <c r="E161" s="1107"/>
      <c r="F161" s="1107"/>
      <c r="G161" s="1107"/>
      <c r="H161" s="1107"/>
      <c r="I161" s="1107"/>
      <c r="J161" s="1107"/>
      <c r="K161" s="1107"/>
      <c r="L161" s="1107"/>
      <c r="M161" s="1107"/>
      <c r="N161" s="1108"/>
      <c r="O161" s="1126"/>
      <c r="P161" s="1126"/>
      <c r="Q161" s="1126"/>
      <c r="R161" s="1126"/>
      <c r="S161" s="1126"/>
      <c r="T161" s="1127"/>
    </row>
    <row r="162" spans="1:21" x14ac:dyDescent="0.35">
      <c r="A162" s="1042" t="s">
        <v>1356</v>
      </c>
      <c r="B162" s="1043" t="s">
        <v>1357</v>
      </c>
      <c r="C162" s="1107">
        <v>0</v>
      </c>
      <c r="D162" s="1107">
        <v>20</v>
      </c>
      <c r="E162" s="1107">
        <v>70</v>
      </c>
      <c r="F162" s="1107">
        <v>130</v>
      </c>
      <c r="G162" s="1107">
        <v>155</v>
      </c>
      <c r="H162" s="1107">
        <v>155</v>
      </c>
      <c r="I162" s="1107">
        <v>155</v>
      </c>
      <c r="J162" s="1107">
        <v>135</v>
      </c>
      <c r="K162" s="1107">
        <v>80</v>
      </c>
      <c r="L162" s="1107">
        <v>20</v>
      </c>
      <c r="M162" s="1107">
        <v>375</v>
      </c>
      <c r="N162" s="1107">
        <v>920</v>
      </c>
      <c r="O162" s="1111" t="s">
        <v>52</v>
      </c>
      <c r="P162" s="1111"/>
      <c r="Q162" s="1111"/>
      <c r="R162" s="1111"/>
      <c r="S162" s="1111"/>
      <c r="T162" s="1047"/>
    </row>
    <row r="163" spans="1:21" x14ac:dyDescent="0.35">
      <c r="A163" s="1059" t="s">
        <v>1358</v>
      </c>
      <c r="B163" s="1060" t="s">
        <v>1359</v>
      </c>
      <c r="C163" s="1107">
        <v>0</v>
      </c>
      <c r="D163" s="1107">
        <v>15</v>
      </c>
      <c r="E163" s="1107">
        <v>12</v>
      </c>
      <c r="F163" s="1107">
        <v>8</v>
      </c>
      <c r="G163" s="1107">
        <v>4</v>
      </c>
      <c r="H163" s="1107">
        <v>0</v>
      </c>
      <c r="I163" s="1107">
        <v>0</v>
      </c>
      <c r="J163" s="1107">
        <v>0</v>
      </c>
      <c r="K163" s="1107">
        <v>0</v>
      </c>
      <c r="L163" s="1107">
        <v>0</v>
      </c>
      <c r="M163" s="1107">
        <v>39</v>
      </c>
      <c r="N163" s="1107">
        <v>39</v>
      </c>
      <c r="O163" s="1111" t="s">
        <v>52</v>
      </c>
      <c r="P163" s="1111"/>
      <c r="Q163" s="1111"/>
      <c r="R163" s="1111"/>
      <c r="S163" s="1111"/>
      <c r="T163" s="1047"/>
    </row>
    <row r="164" spans="1:21" x14ac:dyDescent="0.35">
      <c r="A164" s="1042" t="s">
        <v>1360</v>
      </c>
      <c r="B164" s="1043" t="s">
        <v>1361</v>
      </c>
      <c r="C164" s="1128">
        <v>0</v>
      </c>
      <c r="D164" s="1128">
        <v>25</v>
      </c>
      <c r="E164" s="1128">
        <v>100</v>
      </c>
      <c r="F164" s="1128">
        <v>125</v>
      </c>
      <c r="G164" s="1128">
        <v>100</v>
      </c>
      <c r="H164" s="1128">
        <v>75</v>
      </c>
      <c r="I164" s="1128">
        <v>30</v>
      </c>
      <c r="J164" s="1128">
        <v>20</v>
      </c>
      <c r="K164" s="1128">
        <v>0</v>
      </c>
      <c r="L164" s="1128">
        <v>0</v>
      </c>
      <c r="M164" s="1128">
        <v>350</v>
      </c>
      <c r="N164" s="1128">
        <v>475</v>
      </c>
      <c r="O164" s="1129" t="s">
        <v>52</v>
      </c>
      <c r="P164" s="1129"/>
      <c r="Q164" s="1129"/>
      <c r="R164" s="1129"/>
      <c r="S164" s="1129"/>
      <c r="T164" s="1047"/>
    </row>
    <row r="165" spans="1:21" x14ac:dyDescent="0.35">
      <c r="A165" s="42"/>
      <c r="B165" s="1004"/>
      <c r="C165" s="57"/>
      <c r="D165" s="57"/>
      <c r="E165" s="57"/>
      <c r="F165" s="57"/>
      <c r="G165" s="57"/>
      <c r="H165" s="57"/>
      <c r="I165" s="57"/>
      <c r="J165" s="57"/>
      <c r="K165" s="57"/>
      <c r="L165" s="57"/>
      <c r="M165" s="57"/>
      <c r="N165" s="57"/>
      <c r="O165" s="42"/>
      <c r="P165" s="42"/>
      <c r="Q165" s="42"/>
      <c r="R165" s="42"/>
      <c r="S165" s="42"/>
      <c r="T165" s="1004"/>
    </row>
    <row r="167" spans="1:21" x14ac:dyDescent="0.35">
      <c r="A167" s="43" t="s">
        <v>1369</v>
      </c>
    </row>
    <row r="168" spans="1:21" x14ac:dyDescent="0.35">
      <c r="A168" s="1130"/>
      <c r="B168" s="1130"/>
      <c r="C168" s="1114"/>
      <c r="D168" s="1114">
        <v>2022</v>
      </c>
      <c r="E168" s="1114">
        <v>2023</v>
      </c>
      <c r="F168" s="1114">
        <v>2024</v>
      </c>
      <c r="G168" s="1114">
        <v>2025</v>
      </c>
      <c r="H168" s="1114">
        <v>2026</v>
      </c>
      <c r="I168" s="1114">
        <v>2027</v>
      </c>
      <c r="J168" s="1114">
        <v>2028</v>
      </c>
      <c r="K168" s="1114">
        <v>2029</v>
      </c>
      <c r="L168" s="1114">
        <v>2030</v>
      </c>
      <c r="M168" s="1115">
        <v>2031</v>
      </c>
      <c r="N168" s="1116" t="s">
        <v>1362</v>
      </c>
      <c r="O168" s="1116" t="s">
        <v>1363</v>
      </c>
      <c r="P168" s="1101"/>
      <c r="Q168" s="1101"/>
      <c r="R168" s="1101"/>
      <c r="S168" s="1101"/>
      <c r="U168" s="29"/>
    </row>
    <row r="169" spans="1:21" x14ac:dyDescent="0.35">
      <c r="A169" s="1131" t="s">
        <v>1364</v>
      </c>
      <c r="B169" s="1131"/>
      <c r="C169" s="1137"/>
      <c r="D169" s="1137">
        <f t="shared" ref="D169:O169" si="9">D78/1000</f>
        <v>0</v>
      </c>
      <c r="E169" s="1137">
        <f t="shared" si="9"/>
        <v>6.8000000000000005E-2</v>
      </c>
      <c r="F169" s="1137">
        <f t="shared" si="9"/>
        <v>1.363</v>
      </c>
      <c r="G169" s="1137">
        <f t="shared" si="9"/>
        <v>2.4329999999999998</v>
      </c>
      <c r="H169" s="1137">
        <f t="shared" si="9"/>
        <v>2.8029999999999999</v>
      </c>
      <c r="I169" s="1137">
        <f t="shared" si="9"/>
        <v>1.7410000000000001</v>
      </c>
      <c r="J169" s="1137">
        <f t="shared" si="9"/>
        <v>0.56999999999999995</v>
      </c>
      <c r="K169" s="1137">
        <f t="shared" si="9"/>
        <v>3.5000000000000003E-2</v>
      </c>
      <c r="L169" s="1137">
        <f t="shared" si="9"/>
        <v>0</v>
      </c>
      <c r="M169" s="1137">
        <f t="shared" si="9"/>
        <v>0</v>
      </c>
      <c r="N169" s="1137">
        <f t="shared" si="9"/>
        <v>6.6669999999999998</v>
      </c>
      <c r="O169" s="1137">
        <f t="shared" si="9"/>
        <v>9.0129999999999999</v>
      </c>
      <c r="P169" s="1137"/>
      <c r="Q169" s="1137"/>
      <c r="R169" s="1137"/>
      <c r="S169" s="1137"/>
      <c r="U169" s="29"/>
    </row>
    <row r="170" spans="1:21" x14ac:dyDescent="0.35">
      <c r="A170" s="1131" t="s">
        <v>1365</v>
      </c>
      <c r="B170" s="1131"/>
      <c r="C170" s="1137"/>
      <c r="D170" s="1137">
        <f t="shared" ref="D170:O170" si="10">(D77+D70)/1000</f>
        <v>0</v>
      </c>
      <c r="E170" s="1137">
        <f t="shared" si="10"/>
        <v>0.81899999999999995</v>
      </c>
      <c r="F170" s="1137">
        <f t="shared" si="10"/>
        <v>2.4780000000000002</v>
      </c>
      <c r="G170" s="1137">
        <f t="shared" si="10"/>
        <v>4.0720000000000001</v>
      </c>
      <c r="H170" s="1137">
        <f t="shared" si="10"/>
        <v>5.4480000000000004</v>
      </c>
      <c r="I170" s="1137">
        <f t="shared" si="10"/>
        <v>4.8289999999999997</v>
      </c>
      <c r="J170" s="1137">
        <f t="shared" si="10"/>
        <v>3.2949999999999999</v>
      </c>
      <c r="K170" s="1137">
        <f t="shared" si="10"/>
        <v>1.98</v>
      </c>
      <c r="L170" s="1137">
        <f t="shared" si="10"/>
        <v>1.01</v>
      </c>
      <c r="M170" s="1137">
        <f t="shared" si="10"/>
        <v>0.40400000000000003</v>
      </c>
      <c r="N170" s="1137">
        <f t="shared" si="10"/>
        <v>12.817</v>
      </c>
      <c r="O170" s="1137">
        <f t="shared" si="10"/>
        <v>24.335000000000001</v>
      </c>
      <c r="P170" s="1137"/>
      <c r="Q170" s="1137"/>
      <c r="R170" s="1137"/>
      <c r="S170" s="1137"/>
      <c r="U170" s="29"/>
    </row>
    <row r="171" spans="1:21" x14ac:dyDescent="0.35">
      <c r="A171" s="1131" t="s">
        <v>1366</v>
      </c>
      <c r="B171" s="1131"/>
      <c r="C171" s="1137"/>
      <c r="D171" s="1137">
        <f t="shared" ref="D171:O171" si="11">(D69+D76)/1000</f>
        <v>0</v>
      </c>
      <c r="E171" s="1137">
        <f t="shared" si="11"/>
        <v>4.5430000000000001</v>
      </c>
      <c r="F171" s="1137">
        <f t="shared" si="11"/>
        <v>5.6079999999999997</v>
      </c>
      <c r="G171" s="1137">
        <f t="shared" si="11"/>
        <v>8.16</v>
      </c>
      <c r="H171" s="1137">
        <f t="shared" si="11"/>
        <v>10.069000000000001</v>
      </c>
      <c r="I171" s="1137">
        <f t="shared" si="11"/>
        <v>12.026999999999999</v>
      </c>
      <c r="J171" s="1137">
        <f t="shared" si="11"/>
        <v>13.826000000000001</v>
      </c>
      <c r="K171" s="1137">
        <f t="shared" si="11"/>
        <v>15.862</v>
      </c>
      <c r="L171" s="1137">
        <f t="shared" si="11"/>
        <v>17.890999999999998</v>
      </c>
      <c r="M171" s="1137">
        <f t="shared" si="11"/>
        <v>17.481000000000002</v>
      </c>
      <c r="N171" s="1137">
        <f t="shared" si="11"/>
        <v>28.38</v>
      </c>
      <c r="O171" s="1137">
        <f t="shared" si="11"/>
        <v>105.467</v>
      </c>
      <c r="P171" s="1137"/>
      <c r="Q171" s="1137"/>
      <c r="R171" s="1137"/>
      <c r="S171" s="1137"/>
      <c r="U171" s="29"/>
    </row>
    <row r="172" spans="1:21" x14ac:dyDescent="0.35">
      <c r="A172" s="1132" t="s">
        <v>52</v>
      </c>
      <c r="B172" s="1132"/>
      <c r="C172" s="1137"/>
      <c r="D172" s="1137">
        <f t="shared" ref="D172:O172" si="12">(D79+D74)/1000</f>
        <v>0</v>
      </c>
      <c r="E172" s="1137">
        <f t="shared" si="12"/>
        <v>1.2969999999999999</v>
      </c>
      <c r="F172" s="1137">
        <f t="shared" si="12"/>
        <v>3.8479999999999999</v>
      </c>
      <c r="G172" s="1137">
        <f t="shared" si="12"/>
        <v>6.4420000000000002</v>
      </c>
      <c r="H172" s="1137">
        <f t="shared" si="12"/>
        <v>9.532</v>
      </c>
      <c r="I172" s="1137">
        <f t="shared" si="12"/>
        <v>11.882</v>
      </c>
      <c r="J172" s="1137">
        <f t="shared" si="12"/>
        <v>11.727</v>
      </c>
      <c r="K172" s="1137">
        <f t="shared" si="12"/>
        <v>10.569000000000001</v>
      </c>
      <c r="L172" s="1137">
        <f t="shared" si="12"/>
        <v>8.8879999999999999</v>
      </c>
      <c r="M172" s="1137">
        <f t="shared" si="12"/>
        <v>7.1890000000000001</v>
      </c>
      <c r="N172" s="1137">
        <f t="shared" si="12"/>
        <v>21.117000000000001</v>
      </c>
      <c r="O172" s="1137">
        <f t="shared" si="12"/>
        <v>71.372</v>
      </c>
      <c r="P172" s="1137"/>
      <c r="Q172" s="1137"/>
      <c r="R172" s="1137"/>
      <c r="S172" s="1137"/>
      <c r="U172" s="29"/>
    </row>
    <row r="173" spans="1:21" x14ac:dyDescent="0.35">
      <c r="A173" s="1133" t="s">
        <v>526</v>
      </c>
      <c r="B173" s="1133"/>
      <c r="C173" s="1137"/>
      <c r="D173" s="1137"/>
      <c r="E173" s="1137"/>
      <c r="F173" s="1137"/>
      <c r="G173" s="1137"/>
      <c r="H173" s="1137"/>
      <c r="I173" s="1137"/>
      <c r="J173" s="1137"/>
      <c r="K173" s="1137"/>
      <c r="L173" s="1137"/>
      <c r="M173" s="1137"/>
      <c r="N173" s="1137"/>
      <c r="O173" s="1137"/>
      <c r="P173" s="1137"/>
      <c r="Q173" s="1137"/>
      <c r="R173" s="1137"/>
      <c r="S173" s="1137"/>
      <c r="U173" s="29"/>
    </row>
    <row r="174" spans="1:21" x14ac:dyDescent="0.35">
      <c r="A174" s="1134" t="s">
        <v>54</v>
      </c>
      <c r="B174" s="1134"/>
      <c r="C174" s="1137"/>
      <c r="D174" s="1137">
        <f t="shared" ref="D174:O174" si="13">D71/1000</f>
        <v>0</v>
      </c>
      <c r="E174" s="1137">
        <f t="shared" si="13"/>
        <v>0.11</v>
      </c>
      <c r="F174" s="1137">
        <f t="shared" si="13"/>
        <v>0.73899999999999999</v>
      </c>
      <c r="G174" s="1137">
        <f t="shared" si="13"/>
        <v>1.1950000000000001</v>
      </c>
      <c r="H174" s="1137">
        <f t="shared" si="13"/>
        <v>1.4970000000000001</v>
      </c>
      <c r="I174" s="1137">
        <f t="shared" si="13"/>
        <v>1.91</v>
      </c>
      <c r="J174" s="1137">
        <f t="shared" si="13"/>
        <v>2.4049999999999998</v>
      </c>
      <c r="K174" s="1137">
        <f t="shared" si="13"/>
        <v>2.9220000000000002</v>
      </c>
      <c r="L174" s="1137">
        <f t="shared" si="13"/>
        <v>3.4630000000000001</v>
      </c>
      <c r="M174" s="1137">
        <f t="shared" si="13"/>
        <v>4.0069999999999997</v>
      </c>
      <c r="N174" s="1137">
        <f t="shared" si="13"/>
        <v>3.5409999999999999</v>
      </c>
      <c r="O174" s="1137">
        <f t="shared" si="13"/>
        <v>18.248000000000001</v>
      </c>
      <c r="P174" s="1137"/>
      <c r="Q174" s="1137"/>
      <c r="R174" s="1137"/>
      <c r="S174" s="1137"/>
      <c r="U174" s="29"/>
    </row>
    <row r="175" spans="1:21" x14ac:dyDescent="0.35">
      <c r="A175" s="1134" t="s">
        <v>1367</v>
      </c>
      <c r="B175" s="1134"/>
      <c r="C175" s="1137"/>
      <c r="D175" s="1137">
        <f t="shared" ref="D175:O175" si="14">D72/1000</f>
        <v>0</v>
      </c>
      <c r="E175" s="1137">
        <f t="shared" si="14"/>
        <v>-0.41499999999999998</v>
      </c>
      <c r="F175" s="1137">
        <f t="shared" si="14"/>
        <v>2.7679999999999998</v>
      </c>
      <c r="G175" s="1137">
        <f t="shared" si="14"/>
        <v>-12.473000000000001</v>
      </c>
      <c r="H175" s="1137">
        <f t="shared" si="14"/>
        <v>-5.3739999999999997</v>
      </c>
      <c r="I175" s="1137">
        <f t="shared" si="14"/>
        <v>-25.515000000000001</v>
      </c>
      <c r="J175" s="1137">
        <f t="shared" si="14"/>
        <v>-43.975000000000001</v>
      </c>
      <c r="K175" s="1137">
        <f t="shared" si="14"/>
        <v>-46.426000000000002</v>
      </c>
      <c r="L175" s="1137">
        <f t="shared" si="14"/>
        <v>-56.228000000000002</v>
      </c>
      <c r="M175" s="1137">
        <f t="shared" si="14"/>
        <v>-60.581000000000003</v>
      </c>
      <c r="N175" s="1137">
        <f t="shared" si="14"/>
        <v>-15.494</v>
      </c>
      <c r="O175" s="1137">
        <f t="shared" si="14"/>
        <v>-248.21899999999999</v>
      </c>
      <c r="P175" s="1137"/>
      <c r="Q175" s="1137"/>
      <c r="R175" s="1137"/>
      <c r="S175" s="1137"/>
      <c r="U175" s="29"/>
    </row>
    <row r="176" spans="1:21" x14ac:dyDescent="0.35">
      <c r="A176" s="1135" t="s">
        <v>57</v>
      </c>
      <c r="B176" s="1135"/>
      <c r="C176" s="1137"/>
      <c r="D176" s="1137">
        <f t="shared" ref="D176:O176" si="15">(D80+D73)/1000</f>
        <v>-0.622</v>
      </c>
      <c r="E176" s="1137">
        <f t="shared" si="15"/>
        <v>21.89</v>
      </c>
      <c r="F176" s="1137">
        <f t="shared" si="15"/>
        <v>15.439</v>
      </c>
      <c r="G176" s="1137">
        <f t="shared" si="15"/>
        <v>16.966999999999999</v>
      </c>
      <c r="H176" s="1137">
        <f t="shared" si="15"/>
        <v>0.72799999999999998</v>
      </c>
      <c r="I176" s="1137">
        <f t="shared" si="15"/>
        <v>7.657</v>
      </c>
      <c r="J176" s="1137">
        <f t="shared" si="15"/>
        <v>4.5590000000000002</v>
      </c>
      <c r="K176" s="1137">
        <f t="shared" si="15"/>
        <v>2.4649999999999999</v>
      </c>
      <c r="L176" s="1137">
        <f t="shared" si="15"/>
        <v>1.444</v>
      </c>
      <c r="M176" s="1137">
        <f t="shared" si="15"/>
        <v>0.77300000000000002</v>
      </c>
      <c r="N176" s="1137">
        <f t="shared" si="15"/>
        <v>54.402000000000001</v>
      </c>
      <c r="O176" s="1137">
        <f t="shared" si="15"/>
        <v>71.3</v>
      </c>
      <c r="P176" s="1137"/>
      <c r="Q176" s="1137"/>
      <c r="R176" s="1137"/>
      <c r="S176" s="1137"/>
      <c r="U176" s="29"/>
    </row>
    <row r="177" spans="1:21" x14ac:dyDescent="0.35">
      <c r="A177" s="1136" t="s">
        <v>1423</v>
      </c>
      <c r="B177" s="1136"/>
      <c r="C177" s="1137"/>
      <c r="D177" s="1124">
        <f t="shared" ref="D177:O177" si="16">D84/1000</f>
        <v>0</v>
      </c>
      <c r="E177" s="1124">
        <f t="shared" si="16"/>
        <v>-3.1549999999999998</v>
      </c>
      <c r="F177" s="1124">
        <f t="shared" si="16"/>
        <v>-2.2309999999999999</v>
      </c>
      <c r="G177" s="1124">
        <f t="shared" si="16"/>
        <v>-1.6080000000000001</v>
      </c>
      <c r="H177" s="1124">
        <f t="shared" si="16"/>
        <v>-0.77</v>
      </c>
      <c r="I177" s="1124">
        <f t="shared" si="16"/>
        <v>-0.98299999999999998</v>
      </c>
      <c r="J177" s="1124">
        <f t="shared" si="16"/>
        <v>-1.2110000000000001</v>
      </c>
      <c r="K177" s="1124">
        <f t="shared" si="16"/>
        <v>-1.4710000000000001</v>
      </c>
      <c r="L177" s="1124">
        <f t="shared" si="16"/>
        <v>-1.81</v>
      </c>
      <c r="M177" s="1124">
        <f t="shared" si="16"/>
        <v>-2.3250000000000002</v>
      </c>
      <c r="N177" s="1124">
        <f t="shared" si="16"/>
        <v>-7.7670000000000003</v>
      </c>
      <c r="O177" s="1124">
        <f t="shared" si="16"/>
        <v>-15.566000000000001</v>
      </c>
      <c r="P177" s="1124"/>
      <c r="Q177" s="1124"/>
      <c r="R177" s="1124"/>
      <c r="S177" s="1124"/>
      <c r="U177" s="29"/>
    </row>
    <row r="178" spans="1:21" x14ac:dyDescent="0.35">
      <c r="A178" s="1136" t="s">
        <v>239</v>
      </c>
      <c r="B178" s="1136"/>
      <c r="C178" s="1137"/>
      <c r="D178" s="1124">
        <f t="shared" ref="D178:O178" si="17">D85/1000</f>
        <v>0</v>
      </c>
      <c r="E178" s="1124">
        <f t="shared" si="17"/>
        <v>0.45200000000000001</v>
      </c>
      <c r="F178" s="1124">
        <f t="shared" si="17"/>
        <v>-8.67</v>
      </c>
      <c r="G178" s="1124">
        <f t="shared" si="17"/>
        <v>-4.5270000000000001</v>
      </c>
      <c r="H178" s="1124">
        <f t="shared" si="17"/>
        <v>-0.70499999999999996</v>
      </c>
      <c r="I178" s="1124">
        <f t="shared" si="17"/>
        <v>15.813000000000001</v>
      </c>
      <c r="J178" s="1124">
        <f t="shared" si="17"/>
        <v>20.372</v>
      </c>
      <c r="K178" s="1124">
        <f t="shared" si="17"/>
        <v>24.847000000000001</v>
      </c>
      <c r="L178" s="1124">
        <f t="shared" si="17"/>
        <v>28.113</v>
      </c>
      <c r="M178" s="1124">
        <f t="shared" si="17"/>
        <v>24.777000000000001</v>
      </c>
      <c r="N178" s="1124">
        <f t="shared" si="17"/>
        <v>-13.451000000000001</v>
      </c>
      <c r="O178" s="1124">
        <f t="shared" si="17"/>
        <v>100.468</v>
      </c>
      <c r="P178" s="1124"/>
      <c r="Q178" s="1124"/>
      <c r="R178" s="1124"/>
      <c r="S178" s="1124"/>
      <c r="U178" s="29"/>
    </row>
    <row r="179" spans="1:21" x14ac:dyDescent="0.35">
      <c r="A179" s="1136" t="s">
        <v>106</v>
      </c>
      <c r="B179" s="1136"/>
      <c r="C179" s="1137"/>
      <c r="D179" s="1124">
        <f t="shared" ref="D179:O179" si="18">D83/1000</f>
        <v>0</v>
      </c>
      <c r="E179" s="1124">
        <f t="shared" si="18"/>
        <v>35.317</v>
      </c>
      <c r="F179" s="1124">
        <f t="shared" si="18"/>
        <v>36.033000000000001</v>
      </c>
      <c r="G179" s="1124">
        <f t="shared" si="18"/>
        <v>21.076000000000001</v>
      </c>
      <c r="H179" s="1124">
        <f t="shared" si="18"/>
        <v>13.346</v>
      </c>
      <c r="I179" s="1124">
        <f t="shared" si="18"/>
        <v>27.507999999999999</v>
      </c>
      <c r="J179" s="1124">
        <f t="shared" si="18"/>
        <v>35.85</v>
      </c>
      <c r="K179" s="1124">
        <f t="shared" si="18"/>
        <v>18.64</v>
      </c>
      <c r="L179" s="1124">
        <f t="shared" si="18"/>
        <v>8.3940000000000001</v>
      </c>
      <c r="M179" s="1124">
        <f t="shared" si="18"/>
        <v>7.9820000000000002</v>
      </c>
      <c r="N179" s="1124">
        <f t="shared" si="18"/>
        <v>105.76900000000001</v>
      </c>
      <c r="O179" s="1124">
        <f t="shared" si="18"/>
        <v>204.14400000000001</v>
      </c>
      <c r="P179" s="1124"/>
      <c r="Q179" s="1124"/>
      <c r="R179" s="1124"/>
      <c r="S179" s="1124"/>
      <c r="U179" s="29"/>
    </row>
    <row r="182" spans="1:21" x14ac:dyDescent="0.35">
      <c r="A182" s="43" t="s">
        <v>1368</v>
      </c>
    </row>
    <row r="183" spans="1:21" x14ac:dyDescent="0.35">
      <c r="A183" s="1130"/>
      <c r="B183" s="1130"/>
      <c r="C183" s="1130"/>
      <c r="D183" s="1130" t="s">
        <v>183</v>
      </c>
      <c r="E183" s="1130" t="s">
        <v>184</v>
      </c>
      <c r="F183" s="1130" t="s">
        <v>185</v>
      </c>
      <c r="G183" s="1130" t="s">
        <v>186</v>
      </c>
      <c r="H183" s="1130" t="s">
        <v>187</v>
      </c>
      <c r="I183" s="1130" t="s">
        <v>188</v>
      </c>
      <c r="J183" s="1130" t="s">
        <v>189</v>
      </c>
      <c r="K183" s="1130" t="s">
        <v>190</v>
      </c>
      <c r="L183" s="1130" t="s">
        <v>191</v>
      </c>
      <c r="M183" s="1130" t="s">
        <v>175</v>
      </c>
      <c r="N183" s="1130" t="s">
        <v>176</v>
      </c>
      <c r="O183" s="1130" t="s">
        <v>177</v>
      </c>
      <c r="P183" s="1130" t="s">
        <v>763</v>
      </c>
      <c r="Q183" s="1130" t="s">
        <v>764</v>
      </c>
      <c r="R183" s="1130" t="s">
        <v>765</v>
      </c>
      <c r="S183" s="1130" t="s">
        <v>1151</v>
      </c>
      <c r="U183" s="29"/>
    </row>
    <row r="184" spans="1:21" x14ac:dyDescent="0.35">
      <c r="A184" s="1131" t="s">
        <v>1364</v>
      </c>
      <c r="B184" s="1131"/>
      <c r="C184" s="1138"/>
      <c r="D184" s="1138">
        <f t="shared" ref="D184:D191" si="19">D169</f>
        <v>0</v>
      </c>
      <c r="E184" s="1138">
        <f>D184</f>
        <v>0</v>
      </c>
      <c r="F184" s="1138">
        <f t="shared" ref="F184:F191" si="20">E169</f>
        <v>6.8000000000000005E-2</v>
      </c>
      <c r="G184" s="1138">
        <f>F184</f>
        <v>6.8000000000000005E-2</v>
      </c>
      <c r="H184" s="1138">
        <f>G184</f>
        <v>6.8000000000000005E-2</v>
      </c>
      <c r="I184" s="1138">
        <f>H184</f>
        <v>6.8000000000000005E-2</v>
      </c>
      <c r="J184" s="1138">
        <f t="shared" ref="J184:J191" si="21">F169</f>
        <v>1.363</v>
      </c>
      <c r="K184" s="1138">
        <f t="shared" ref="K184:M191" si="22">J184</f>
        <v>1.363</v>
      </c>
      <c r="L184" s="1138">
        <f t="shared" si="22"/>
        <v>1.363</v>
      </c>
      <c r="M184" s="1138">
        <f>L184</f>
        <v>1.363</v>
      </c>
      <c r="N184" s="1138">
        <f>G169</f>
        <v>2.4329999999999998</v>
      </c>
      <c r="O184" s="1138">
        <f>N184</f>
        <v>2.4329999999999998</v>
      </c>
      <c r="P184" s="1138">
        <f t="shared" ref="P184:Q184" si="23">O184</f>
        <v>2.4329999999999998</v>
      </c>
      <c r="Q184" s="1138">
        <f t="shared" si="23"/>
        <v>2.4329999999999998</v>
      </c>
      <c r="R184" s="1138">
        <f>H169</f>
        <v>2.8029999999999999</v>
      </c>
      <c r="S184" s="1138">
        <f>R184</f>
        <v>2.8029999999999999</v>
      </c>
      <c r="U184" s="29"/>
    </row>
    <row r="185" spans="1:21" x14ac:dyDescent="0.35">
      <c r="A185" s="1131" t="s">
        <v>1365</v>
      </c>
      <c r="B185" s="1131"/>
      <c r="C185" s="1138"/>
      <c r="D185" s="1138">
        <f t="shared" si="19"/>
        <v>0</v>
      </c>
      <c r="E185" s="1138">
        <f t="shared" ref="E185:E191" si="24">D185</f>
        <v>0</v>
      </c>
      <c r="F185" s="1138">
        <f t="shared" si="20"/>
        <v>0.81899999999999995</v>
      </c>
      <c r="G185" s="1138">
        <f t="shared" ref="G185:I191" si="25">F185</f>
        <v>0.81899999999999995</v>
      </c>
      <c r="H185" s="1138">
        <f t="shared" si="25"/>
        <v>0.81899999999999995</v>
      </c>
      <c r="I185" s="1138">
        <f t="shared" si="25"/>
        <v>0.81899999999999995</v>
      </c>
      <c r="J185" s="1138">
        <f>F170</f>
        <v>2.4780000000000002</v>
      </c>
      <c r="K185" s="1138">
        <f t="shared" si="22"/>
        <v>2.4780000000000002</v>
      </c>
      <c r="L185" s="1138">
        <f t="shared" si="22"/>
        <v>2.4780000000000002</v>
      </c>
      <c r="M185" s="1138">
        <f>L185</f>
        <v>2.4780000000000002</v>
      </c>
      <c r="N185" s="1138">
        <f>G170</f>
        <v>4.0720000000000001</v>
      </c>
      <c r="O185" s="1138">
        <f>N185</f>
        <v>4.0720000000000001</v>
      </c>
      <c r="P185" s="1138">
        <f t="shared" ref="P185:Q194" si="26">O185</f>
        <v>4.0720000000000001</v>
      </c>
      <c r="Q185" s="1138">
        <f t="shared" si="26"/>
        <v>4.0720000000000001</v>
      </c>
      <c r="R185" s="1138">
        <f>H170</f>
        <v>5.4480000000000004</v>
      </c>
      <c r="S185" s="1138">
        <f t="shared" ref="S185:S194" si="27">R185</f>
        <v>5.4480000000000004</v>
      </c>
      <c r="U185" s="29"/>
    </row>
    <row r="186" spans="1:21" x14ac:dyDescent="0.35">
      <c r="A186" s="1131" t="s">
        <v>1366</v>
      </c>
      <c r="B186" s="1131"/>
      <c r="C186" s="1138"/>
      <c r="D186" s="1138">
        <f t="shared" si="19"/>
        <v>0</v>
      </c>
      <c r="E186" s="1138">
        <f t="shared" si="24"/>
        <v>0</v>
      </c>
      <c r="F186" s="1138">
        <f t="shared" si="20"/>
        <v>4.5430000000000001</v>
      </c>
      <c r="G186" s="1138">
        <f t="shared" si="25"/>
        <v>4.5430000000000001</v>
      </c>
      <c r="H186" s="1138">
        <f t="shared" si="25"/>
        <v>4.5430000000000001</v>
      </c>
      <c r="I186" s="1138">
        <f t="shared" si="25"/>
        <v>4.5430000000000001</v>
      </c>
      <c r="J186" s="1138">
        <f t="shared" si="21"/>
        <v>5.6079999999999997</v>
      </c>
      <c r="K186" s="1138">
        <f t="shared" si="22"/>
        <v>5.6079999999999997</v>
      </c>
      <c r="L186" s="1138">
        <f t="shared" si="22"/>
        <v>5.6079999999999997</v>
      </c>
      <c r="M186" s="1138">
        <f t="shared" si="22"/>
        <v>5.6079999999999997</v>
      </c>
      <c r="N186" s="1138">
        <f>G171</f>
        <v>8.16</v>
      </c>
      <c r="O186" s="1138">
        <f t="shared" ref="O186:O191" si="28">N186</f>
        <v>8.16</v>
      </c>
      <c r="P186" s="1138">
        <f t="shared" si="26"/>
        <v>8.16</v>
      </c>
      <c r="Q186" s="1138">
        <f t="shared" si="26"/>
        <v>8.16</v>
      </c>
      <c r="R186" s="1138">
        <f t="shared" ref="R186:R194" si="29">H171</f>
        <v>10.069000000000001</v>
      </c>
      <c r="S186" s="1138">
        <f t="shared" si="27"/>
        <v>10.069000000000001</v>
      </c>
      <c r="U186" s="29"/>
    </row>
    <row r="187" spans="1:21" x14ac:dyDescent="0.35">
      <c r="A187" s="1132" t="s">
        <v>52</v>
      </c>
      <c r="B187" s="1132"/>
      <c r="C187" s="1138"/>
      <c r="D187" s="1138">
        <f t="shared" si="19"/>
        <v>0</v>
      </c>
      <c r="E187" s="1138">
        <f t="shared" si="24"/>
        <v>0</v>
      </c>
      <c r="F187" s="1138">
        <f t="shared" si="20"/>
        <v>1.2969999999999999</v>
      </c>
      <c r="G187" s="1138">
        <f t="shared" si="25"/>
        <v>1.2969999999999999</v>
      </c>
      <c r="H187" s="1138">
        <f t="shared" si="25"/>
        <v>1.2969999999999999</v>
      </c>
      <c r="I187" s="1138">
        <f t="shared" si="25"/>
        <v>1.2969999999999999</v>
      </c>
      <c r="J187" s="1138">
        <f t="shared" si="21"/>
        <v>3.8479999999999999</v>
      </c>
      <c r="K187" s="1138">
        <f t="shared" si="22"/>
        <v>3.8479999999999999</v>
      </c>
      <c r="L187" s="1138">
        <f t="shared" si="22"/>
        <v>3.8479999999999999</v>
      </c>
      <c r="M187" s="1138">
        <f t="shared" si="22"/>
        <v>3.8479999999999999</v>
      </c>
      <c r="N187" s="1138">
        <f t="shared" ref="N187:N191" si="30">G172</f>
        <v>6.4420000000000002</v>
      </c>
      <c r="O187" s="1138">
        <f t="shared" si="28"/>
        <v>6.4420000000000002</v>
      </c>
      <c r="P187" s="1138">
        <f t="shared" si="26"/>
        <v>6.4420000000000002</v>
      </c>
      <c r="Q187" s="1138">
        <f t="shared" si="26"/>
        <v>6.4420000000000002</v>
      </c>
      <c r="R187" s="1138">
        <f t="shared" si="29"/>
        <v>9.532</v>
      </c>
      <c r="S187" s="1138">
        <f t="shared" si="27"/>
        <v>9.532</v>
      </c>
      <c r="U187" s="29"/>
    </row>
    <row r="188" spans="1:21" x14ac:dyDescent="0.35">
      <c r="A188" s="1133" t="s">
        <v>526</v>
      </c>
      <c r="B188" s="1133"/>
      <c r="C188" s="1138"/>
      <c r="D188" s="1138">
        <f t="shared" si="19"/>
        <v>0</v>
      </c>
      <c r="E188" s="1138">
        <f t="shared" si="24"/>
        <v>0</v>
      </c>
      <c r="F188" s="1138">
        <f t="shared" si="20"/>
        <v>0</v>
      </c>
      <c r="G188" s="1138">
        <f t="shared" si="25"/>
        <v>0</v>
      </c>
      <c r="H188" s="1138">
        <f t="shared" si="25"/>
        <v>0</v>
      </c>
      <c r="I188" s="1138">
        <f t="shared" si="25"/>
        <v>0</v>
      </c>
      <c r="J188" s="1138">
        <f t="shared" si="21"/>
        <v>0</v>
      </c>
      <c r="K188" s="1138">
        <f t="shared" si="22"/>
        <v>0</v>
      </c>
      <c r="L188" s="1138">
        <f t="shared" si="22"/>
        <v>0</v>
      </c>
      <c r="M188" s="1138">
        <f t="shared" si="22"/>
        <v>0</v>
      </c>
      <c r="N188" s="1138">
        <f t="shared" si="30"/>
        <v>0</v>
      </c>
      <c r="O188" s="1138">
        <f t="shared" si="28"/>
        <v>0</v>
      </c>
      <c r="P188" s="1138">
        <f t="shared" si="26"/>
        <v>0</v>
      </c>
      <c r="Q188" s="1138">
        <f t="shared" si="26"/>
        <v>0</v>
      </c>
      <c r="R188" s="1138">
        <f t="shared" si="29"/>
        <v>0</v>
      </c>
      <c r="S188" s="1138">
        <f t="shared" si="27"/>
        <v>0</v>
      </c>
      <c r="U188" s="29"/>
    </row>
    <row r="189" spans="1:21" x14ac:dyDescent="0.35">
      <c r="A189" s="1134" t="s">
        <v>54</v>
      </c>
      <c r="B189" s="1134"/>
      <c r="C189" s="1138"/>
      <c r="D189" s="1138">
        <f t="shared" si="19"/>
        <v>0</v>
      </c>
      <c r="E189" s="1138">
        <f t="shared" si="24"/>
        <v>0</v>
      </c>
      <c r="F189" s="1138">
        <f t="shared" si="20"/>
        <v>0.11</v>
      </c>
      <c r="G189" s="1138">
        <f t="shared" si="25"/>
        <v>0.11</v>
      </c>
      <c r="H189" s="1138">
        <f t="shared" si="25"/>
        <v>0.11</v>
      </c>
      <c r="I189" s="1138">
        <f t="shared" si="25"/>
        <v>0.11</v>
      </c>
      <c r="J189" s="1138">
        <f t="shared" si="21"/>
        <v>0.73899999999999999</v>
      </c>
      <c r="K189" s="1138">
        <f t="shared" si="22"/>
        <v>0.73899999999999999</v>
      </c>
      <c r="L189" s="1138">
        <f t="shared" si="22"/>
        <v>0.73899999999999999</v>
      </c>
      <c r="M189" s="1138">
        <f t="shared" si="22"/>
        <v>0.73899999999999999</v>
      </c>
      <c r="N189" s="1138">
        <f t="shared" si="30"/>
        <v>1.1950000000000001</v>
      </c>
      <c r="O189" s="1138">
        <f t="shared" si="28"/>
        <v>1.1950000000000001</v>
      </c>
      <c r="P189" s="1138">
        <f t="shared" si="26"/>
        <v>1.1950000000000001</v>
      </c>
      <c r="Q189" s="1138">
        <f t="shared" si="26"/>
        <v>1.1950000000000001</v>
      </c>
      <c r="R189" s="1138">
        <f t="shared" si="29"/>
        <v>1.4970000000000001</v>
      </c>
      <c r="S189" s="1138">
        <f t="shared" si="27"/>
        <v>1.4970000000000001</v>
      </c>
      <c r="U189" s="29"/>
    </row>
    <row r="190" spans="1:21" x14ac:dyDescent="0.35">
      <c r="A190" s="1134" t="s">
        <v>1367</v>
      </c>
      <c r="B190" s="1134"/>
      <c r="C190" s="1138"/>
      <c r="D190" s="1138">
        <f t="shared" si="19"/>
        <v>0</v>
      </c>
      <c r="E190" s="1138">
        <f t="shared" si="24"/>
        <v>0</v>
      </c>
      <c r="F190" s="1138">
        <f t="shared" si="20"/>
        <v>-0.41499999999999998</v>
      </c>
      <c r="G190" s="1138">
        <f t="shared" si="25"/>
        <v>-0.41499999999999998</v>
      </c>
      <c r="H190" s="1138">
        <f t="shared" si="25"/>
        <v>-0.41499999999999998</v>
      </c>
      <c r="I190" s="1138">
        <f t="shared" si="25"/>
        <v>-0.41499999999999998</v>
      </c>
      <c r="J190" s="1138">
        <f t="shared" si="21"/>
        <v>2.7679999999999998</v>
      </c>
      <c r="K190" s="1138">
        <f t="shared" si="22"/>
        <v>2.7679999999999998</v>
      </c>
      <c r="L190" s="1138">
        <f t="shared" si="22"/>
        <v>2.7679999999999998</v>
      </c>
      <c r="M190" s="1138">
        <f t="shared" si="22"/>
        <v>2.7679999999999998</v>
      </c>
      <c r="N190" s="1138">
        <f t="shared" si="30"/>
        <v>-12.473000000000001</v>
      </c>
      <c r="O190" s="1138">
        <f t="shared" si="28"/>
        <v>-12.473000000000001</v>
      </c>
      <c r="P190" s="1138">
        <f t="shared" si="26"/>
        <v>-12.473000000000001</v>
      </c>
      <c r="Q190" s="1138">
        <f t="shared" si="26"/>
        <v>-12.473000000000001</v>
      </c>
      <c r="R190" s="1138">
        <f t="shared" si="29"/>
        <v>-5.3739999999999997</v>
      </c>
      <c r="S190" s="1138">
        <f t="shared" si="27"/>
        <v>-5.3739999999999997</v>
      </c>
      <c r="U190" s="29"/>
    </row>
    <row r="191" spans="1:21" x14ac:dyDescent="0.35">
      <c r="A191" s="1135" t="s">
        <v>57</v>
      </c>
      <c r="B191" s="1135"/>
      <c r="C191" s="1138"/>
      <c r="D191" s="1138">
        <f t="shared" si="19"/>
        <v>-0.622</v>
      </c>
      <c r="E191" s="1138">
        <f t="shared" si="24"/>
        <v>-0.622</v>
      </c>
      <c r="F191" s="1138">
        <f t="shared" si="20"/>
        <v>21.89</v>
      </c>
      <c r="G191" s="1138">
        <f t="shared" si="25"/>
        <v>21.89</v>
      </c>
      <c r="H191" s="1138">
        <f t="shared" si="25"/>
        <v>21.89</v>
      </c>
      <c r="I191" s="1138">
        <f t="shared" si="25"/>
        <v>21.89</v>
      </c>
      <c r="J191" s="1138">
        <f t="shared" si="21"/>
        <v>15.439</v>
      </c>
      <c r="K191" s="1138">
        <f t="shared" si="22"/>
        <v>15.439</v>
      </c>
      <c r="L191" s="1138">
        <f t="shared" si="22"/>
        <v>15.439</v>
      </c>
      <c r="M191" s="1138">
        <f t="shared" si="22"/>
        <v>15.439</v>
      </c>
      <c r="N191" s="1138">
        <f t="shared" si="30"/>
        <v>16.966999999999999</v>
      </c>
      <c r="O191" s="1138">
        <f t="shared" si="28"/>
        <v>16.966999999999999</v>
      </c>
      <c r="P191" s="1138">
        <f t="shared" si="26"/>
        <v>16.966999999999999</v>
      </c>
      <c r="Q191" s="1138">
        <f t="shared" si="26"/>
        <v>16.966999999999999</v>
      </c>
      <c r="R191" s="1138">
        <f t="shared" si="29"/>
        <v>0.72799999999999998</v>
      </c>
      <c r="S191" s="1138">
        <f t="shared" si="27"/>
        <v>0.72799999999999998</v>
      </c>
      <c r="U191" s="29"/>
    </row>
    <row r="192" spans="1:21" x14ac:dyDescent="0.35">
      <c r="A192" s="1136" t="s">
        <v>484</v>
      </c>
      <c r="B192" s="1136"/>
      <c r="C192" s="1138"/>
      <c r="D192" s="1124">
        <f t="shared" ref="D192:D194" si="31">D177</f>
        <v>0</v>
      </c>
      <c r="E192" s="1124">
        <f t="shared" ref="E192:E194" si="32">D192</f>
        <v>0</v>
      </c>
      <c r="F192" s="1124">
        <f t="shared" ref="F192:F194" si="33">E177</f>
        <v>-3.1549999999999998</v>
      </c>
      <c r="G192" s="1124">
        <f t="shared" ref="G192:G194" si="34">F192</f>
        <v>-3.1549999999999998</v>
      </c>
      <c r="H192" s="1124">
        <f t="shared" ref="H192:H194" si="35">G192</f>
        <v>-3.1549999999999998</v>
      </c>
      <c r="I192" s="1124">
        <f t="shared" ref="I192:I194" si="36">H192</f>
        <v>-3.1549999999999998</v>
      </c>
      <c r="J192" s="1124">
        <f t="shared" ref="J192:J194" si="37">F177</f>
        <v>-2.2309999999999999</v>
      </c>
      <c r="K192" s="1124">
        <f t="shared" ref="K192:K194" si="38">J192</f>
        <v>-2.2309999999999999</v>
      </c>
      <c r="L192" s="1124">
        <f t="shared" ref="L192:L194" si="39">K192</f>
        <v>-2.2309999999999999</v>
      </c>
      <c r="M192" s="1124">
        <f t="shared" ref="M192:M194" si="40">L192</f>
        <v>-2.2309999999999999</v>
      </c>
      <c r="N192" s="1124">
        <f t="shared" ref="N192:N194" si="41">G177</f>
        <v>-1.6080000000000001</v>
      </c>
      <c r="O192" s="1124">
        <f t="shared" ref="O192:O194" si="42">N192</f>
        <v>-1.6080000000000001</v>
      </c>
      <c r="P192" s="1124">
        <f t="shared" si="26"/>
        <v>-1.6080000000000001</v>
      </c>
      <c r="Q192" s="1124">
        <f t="shared" si="26"/>
        <v>-1.6080000000000001</v>
      </c>
      <c r="R192" s="1138">
        <f t="shared" si="29"/>
        <v>-0.77</v>
      </c>
      <c r="S192" s="1138">
        <f t="shared" si="27"/>
        <v>-0.77</v>
      </c>
      <c r="U192" s="29"/>
    </row>
    <row r="193" spans="1:21" x14ac:dyDescent="0.35">
      <c r="A193" s="1136" t="s">
        <v>482</v>
      </c>
      <c r="B193" s="1136"/>
      <c r="C193" s="1138"/>
      <c r="D193" s="1124">
        <f t="shared" si="31"/>
        <v>0</v>
      </c>
      <c r="E193" s="1124">
        <f t="shared" si="32"/>
        <v>0</v>
      </c>
      <c r="F193" s="1124">
        <f t="shared" si="33"/>
        <v>0.45200000000000001</v>
      </c>
      <c r="G193" s="1124">
        <f t="shared" si="34"/>
        <v>0.45200000000000001</v>
      </c>
      <c r="H193" s="1124">
        <f t="shared" si="35"/>
        <v>0.45200000000000001</v>
      </c>
      <c r="I193" s="1124">
        <f t="shared" si="36"/>
        <v>0.45200000000000001</v>
      </c>
      <c r="J193" s="1124">
        <f t="shared" si="37"/>
        <v>-8.67</v>
      </c>
      <c r="K193" s="1124">
        <f t="shared" si="38"/>
        <v>-8.67</v>
      </c>
      <c r="L193" s="1124">
        <f t="shared" si="39"/>
        <v>-8.67</v>
      </c>
      <c r="M193" s="1124">
        <f t="shared" si="40"/>
        <v>-8.67</v>
      </c>
      <c r="N193" s="1124">
        <f t="shared" si="41"/>
        <v>-4.5270000000000001</v>
      </c>
      <c r="O193" s="1124">
        <f t="shared" si="42"/>
        <v>-4.5270000000000001</v>
      </c>
      <c r="P193" s="1124">
        <f t="shared" si="26"/>
        <v>-4.5270000000000001</v>
      </c>
      <c r="Q193" s="1124">
        <f t="shared" si="26"/>
        <v>-4.5270000000000001</v>
      </c>
      <c r="R193" s="1138">
        <f t="shared" si="29"/>
        <v>-0.70499999999999996</v>
      </c>
      <c r="S193" s="1138">
        <f t="shared" si="27"/>
        <v>-0.70499999999999996</v>
      </c>
      <c r="U193" s="29"/>
    </row>
    <row r="194" spans="1:21" x14ac:dyDescent="0.35">
      <c r="A194" s="1136" t="s">
        <v>106</v>
      </c>
      <c r="B194" s="1136"/>
      <c r="C194" s="1138"/>
      <c r="D194" s="1124">
        <f t="shared" si="31"/>
        <v>0</v>
      </c>
      <c r="E194" s="1124">
        <f t="shared" si="32"/>
        <v>0</v>
      </c>
      <c r="F194" s="1124">
        <f t="shared" si="33"/>
        <v>35.317</v>
      </c>
      <c r="G194" s="1124">
        <f t="shared" si="34"/>
        <v>35.317</v>
      </c>
      <c r="H194" s="1124">
        <f t="shared" si="35"/>
        <v>35.317</v>
      </c>
      <c r="I194" s="1124">
        <f t="shared" si="36"/>
        <v>35.317</v>
      </c>
      <c r="J194" s="1124">
        <f t="shared" si="37"/>
        <v>36.033000000000001</v>
      </c>
      <c r="K194" s="1124">
        <f t="shared" si="38"/>
        <v>36.033000000000001</v>
      </c>
      <c r="L194" s="1124">
        <f t="shared" si="39"/>
        <v>36.033000000000001</v>
      </c>
      <c r="M194" s="1124">
        <f t="shared" si="40"/>
        <v>36.033000000000001</v>
      </c>
      <c r="N194" s="1124">
        <f t="shared" si="41"/>
        <v>21.076000000000001</v>
      </c>
      <c r="O194" s="1124">
        <f t="shared" si="42"/>
        <v>21.076000000000001</v>
      </c>
      <c r="P194" s="1124">
        <f t="shared" si="26"/>
        <v>21.076000000000001</v>
      </c>
      <c r="Q194" s="1124">
        <f t="shared" si="26"/>
        <v>21.076000000000001</v>
      </c>
      <c r="R194" s="1138">
        <f t="shared" si="29"/>
        <v>13.346</v>
      </c>
      <c r="S194" s="1138">
        <f t="shared" si="27"/>
        <v>13.346</v>
      </c>
      <c r="U194" s="29"/>
    </row>
    <row r="197" spans="1:21" x14ac:dyDescent="0.35">
      <c r="A197" s="43" t="s">
        <v>1370</v>
      </c>
    </row>
    <row r="198" spans="1:21" x14ac:dyDescent="0.35">
      <c r="A198" s="1132" t="s">
        <v>52</v>
      </c>
      <c r="D198" s="1139">
        <v>0</v>
      </c>
      <c r="E198" s="1139">
        <v>0</v>
      </c>
      <c r="F198" s="1139">
        <v>2.3250000000000002</v>
      </c>
      <c r="G198" s="1139">
        <v>2.3250000000000002</v>
      </c>
      <c r="H198" s="1139">
        <v>2.3250000000000002</v>
      </c>
      <c r="I198" s="1139">
        <v>2.3250000000000002</v>
      </c>
      <c r="J198" s="1139">
        <v>5.5830000000000002</v>
      </c>
      <c r="K198" s="1139">
        <v>5.5830000000000002</v>
      </c>
      <c r="L198" s="1139">
        <v>5.5830000000000002</v>
      </c>
      <c r="M198" s="1139">
        <v>5.5830000000000002</v>
      </c>
      <c r="N198" s="1139">
        <v>8.0220000000000002</v>
      </c>
      <c r="O198" s="1139">
        <v>8.0220000000000002</v>
      </c>
      <c r="P198" s="1139"/>
      <c r="Q198" s="1139"/>
      <c r="R198" s="1139"/>
      <c r="S198" s="1139"/>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r:id="rId5"/>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5" t="s">
        <v>552</v>
      </c>
    </row>
    <row r="2" spans="1:6" ht="20.9" customHeight="1" x14ac:dyDescent="0.4">
      <c r="A2" s="1144" t="s">
        <v>553</v>
      </c>
      <c r="B2" s="1144" t="s">
        <v>554</v>
      </c>
      <c r="C2" s="1144" t="s">
        <v>555</v>
      </c>
      <c r="D2" s="1144" t="s">
        <v>556</v>
      </c>
    </row>
    <row r="3" spans="1:6" x14ac:dyDescent="0.35">
      <c r="A3" s="1145" t="s">
        <v>557</v>
      </c>
      <c r="B3" s="733">
        <f>SUM(B4:B7)</f>
        <v>325</v>
      </c>
      <c r="E3" s="1459" t="s">
        <v>558</v>
      </c>
      <c r="F3" s="1459"/>
    </row>
    <row r="4" spans="1:6" x14ac:dyDescent="0.35">
      <c r="A4" s="882" t="s">
        <v>559</v>
      </c>
      <c r="B4" s="733">
        <v>284</v>
      </c>
      <c r="E4" s="523" t="s">
        <v>51</v>
      </c>
      <c r="F4" s="523" t="s">
        <v>560</v>
      </c>
    </row>
    <row r="5" spans="1:6" x14ac:dyDescent="0.35">
      <c r="A5" s="882" t="s">
        <v>412</v>
      </c>
      <c r="B5" s="733">
        <v>20</v>
      </c>
      <c r="E5" s="245" t="s">
        <v>150</v>
      </c>
      <c r="F5" s="245">
        <f>SUM(B11:B16)</f>
        <v>82</v>
      </c>
    </row>
    <row r="6" spans="1:6" x14ac:dyDescent="0.35">
      <c r="A6" s="882" t="s">
        <v>419</v>
      </c>
      <c r="B6" s="733">
        <v>15</v>
      </c>
      <c r="E6" s="245" t="s">
        <v>49</v>
      </c>
      <c r="F6" s="245">
        <f>B23</f>
        <v>3</v>
      </c>
    </row>
    <row r="7" spans="1:6" x14ac:dyDescent="0.35">
      <c r="A7" s="882" t="s">
        <v>420</v>
      </c>
      <c r="B7" s="733">
        <v>6</v>
      </c>
      <c r="E7" s="245" t="s">
        <v>342</v>
      </c>
      <c r="F7" s="245">
        <f>B27-B28</f>
        <v>29</v>
      </c>
    </row>
    <row r="8" spans="1:6" x14ac:dyDescent="0.35">
      <c r="A8" s="523" t="s">
        <v>561</v>
      </c>
      <c r="B8" s="733">
        <v>121</v>
      </c>
      <c r="E8" s="245" t="s">
        <v>359</v>
      </c>
      <c r="F8" s="245">
        <f>B42</f>
        <v>2</v>
      </c>
    </row>
    <row r="9" spans="1:6" x14ac:dyDescent="0.35">
      <c r="A9" s="1146" t="s">
        <v>562</v>
      </c>
      <c r="B9" s="733">
        <v>166</v>
      </c>
      <c r="E9" s="245" t="s">
        <v>563</v>
      </c>
      <c r="F9" s="245">
        <f>B18+B20+B21</f>
        <v>34</v>
      </c>
    </row>
    <row r="10" spans="1:6" x14ac:dyDescent="0.35">
      <c r="A10" s="1143" t="s">
        <v>564</v>
      </c>
      <c r="B10" s="733">
        <v>82</v>
      </c>
      <c r="E10" s="523" t="s">
        <v>565</v>
      </c>
      <c r="F10" s="523" t="s">
        <v>566</v>
      </c>
    </row>
    <row r="11" spans="1:6" x14ac:dyDescent="0.35">
      <c r="A11" s="882" t="s">
        <v>567</v>
      </c>
      <c r="B11" s="733">
        <v>54</v>
      </c>
      <c r="E11" s="245" t="s">
        <v>315</v>
      </c>
      <c r="F11" s="245">
        <f>B4</f>
        <v>284</v>
      </c>
    </row>
    <row r="12" spans="1:6" x14ac:dyDescent="0.35">
      <c r="A12" s="882" t="s">
        <v>568</v>
      </c>
      <c r="B12" s="733">
        <v>20</v>
      </c>
      <c r="E12" s="245" t="s">
        <v>569</v>
      </c>
      <c r="F12" s="245">
        <f>B5</f>
        <v>20</v>
      </c>
    </row>
    <row r="13" spans="1:6" x14ac:dyDescent="0.35">
      <c r="A13" s="882" t="s">
        <v>570</v>
      </c>
      <c r="B13" s="733">
        <v>4</v>
      </c>
      <c r="E13" s="245" t="s">
        <v>419</v>
      </c>
      <c r="F13" s="245">
        <f>B6</f>
        <v>15</v>
      </c>
    </row>
    <row r="14" spans="1:6" ht="27.65" customHeight="1" x14ac:dyDescent="0.35">
      <c r="A14" s="882" t="s">
        <v>571</v>
      </c>
      <c r="B14" s="733">
        <v>2</v>
      </c>
      <c r="E14" s="280" t="s">
        <v>420</v>
      </c>
      <c r="F14" s="245">
        <f>B7</f>
        <v>6</v>
      </c>
    </row>
    <row r="15" spans="1:6" ht="27.65" customHeight="1" x14ac:dyDescent="0.35">
      <c r="A15" s="882" t="s">
        <v>572</v>
      </c>
      <c r="B15" s="733">
        <v>1</v>
      </c>
      <c r="E15" s="280" t="s">
        <v>573</v>
      </c>
      <c r="F15" s="245">
        <f>B28</f>
        <v>15</v>
      </c>
    </row>
    <row r="16" spans="1:6" x14ac:dyDescent="0.35">
      <c r="A16" s="882" t="s">
        <v>574</v>
      </c>
      <c r="B16" s="733">
        <v>1</v>
      </c>
      <c r="E16" s="245" t="s">
        <v>575</v>
      </c>
      <c r="F16" s="245">
        <f>B37</f>
        <v>12</v>
      </c>
    </row>
    <row r="17" spans="1:6" x14ac:dyDescent="0.35">
      <c r="A17" s="523" t="s">
        <v>576</v>
      </c>
      <c r="B17" s="733">
        <v>72</v>
      </c>
      <c r="E17" s="245" t="s">
        <v>577</v>
      </c>
      <c r="F17" s="245">
        <f>B38</f>
        <v>10</v>
      </c>
    </row>
    <row r="18" spans="1:6" x14ac:dyDescent="0.35">
      <c r="A18" s="882" t="s">
        <v>578</v>
      </c>
      <c r="B18" s="733">
        <v>22</v>
      </c>
      <c r="C18" s="245" t="s">
        <v>579</v>
      </c>
    </row>
    <row r="19" spans="1:6" x14ac:dyDescent="0.35">
      <c r="A19" s="882" t="s">
        <v>580</v>
      </c>
      <c r="B19" s="733">
        <v>20</v>
      </c>
      <c r="C19" s="245" t="s">
        <v>109</v>
      </c>
    </row>
    <row r="20" spans="1:6" x14ac:dyDescent="0.35">
      <c r="A20" s="882" t="s">
        <v>581</v>
      </c>
      <c r="B20" s="733">
        <v>8</v>
      </c>
      <c r="C20" s="245" t="s">
        <v>579</v>
      </c>
    </row>
    <row r="21" spans="1:6" x14ac:dyDescent="0.35">
      <c r="A21" s="882" t="s">
        <v>582</v>
      </c>
      <c r="B21" s="733">
        <v>4</v>
      </c>
      <c r="C21" s="245" t="s">
        <v>51</v>
      </c>
    </row>
    <row r="22" spans="1:6" x14ac:dyDescent="0.35">
      <c r="A22" s="882" t="s">
        <v>583</v>
      </c>
      <c r="B22" s="733">
        <v>4</v>
      </c>
      <c r="C22" s="245" t="s">
        <v>109</v>
      </c>
    </row>
    <row r="23" spans="1:6" x14ac:dyDescent="0.35">
      <c r="A23" s="882" t="s">
        <v>584</v>
      </c>
      <c r="B23" s="733">
        <v>3</v>
      </c>
      <c r="C23" s="245" t="s">
        <v>585</v>
      </c>
    </row>
    <row r="24" spans="1:6" x14ac:dyDescent="0.35">
      <c r="A24" s="882" t="s">
        <v>586</v>
      </c>
      <c r="B24" s="733">
        <v>3</v>
      </c>
      <c r="C24" s="245" t="s">
        <v>587</v>
      </c>
    </row>
    <row r="25" spans="1:6" x14ac:dyDescent="0.35">
      <c r="A25" s="1147" t="s">
        <v>588</v>
      </c>
      <c r="B25" s="733">
        <v>3</v>
      </c>
      <c r="C25" s="245" t="s">
        <v>55</v>
      </c>
    </row>
    <row r="26" spans="1:6" x14ac:dyDescent="0.35">
      <c r="A26" s="882" t="s">
        <v>589</v>
      </c>
      <c r="B26" s="733">
        <v>4</v>
      </c>
      <c r="C26" s="245" t="s">
        <v>590</v>
      </c>
    </row>
    <row r="27" spans="1:6" x14ac:dyDescent="0.35">
      <c r="A27" s="523" t="s">
        <v>342</v>
      </c>
      <c r="B27" s="733">
        <v>44</v>
      </c>
    </row>
    <row r="28" spans="1:6" x14ac:dyDescent="0.35">
      <c r="A28" s="1140" t="s">
        <v>573</v>
      </c>
      <c r="B28" s="1141">
        <v>15</v>
      </c>
    </row>
    <row r="29" spans="1:6" x14ac:dyDescent="0.35">
      <c r="A29" s="882" t="s">
        <v>591</v>
      </c>
      <c r="B29" s="733">
        <v>14</v>
      </c>
    </row>
    <row r="30" spans="1:6" x14ac:dyDescent="0.35">
      <c r="A30" s="882" t="s">
        <v>592</v>
      </c>
      <c r="B30" s="733">
        <v>10</v>
      </c>
    </row>
    <row r="31" spans="1:6" x14ac:dyDescent="0.35">
      <c r="A31" s="882" t="s">
        <v>593</v>
      </c>
      <c r="B31" s="733">
        <v>2</v>
      </c>
    </row>
    <row r="32" spans="1:6" x14ac:dyDescent="0.35">
      <c r="A32" s="882" t="s">
        <v>594</v>
      </c>
      <c r="B32" s="733">
        <v>2</v>
      </c>
    </row>
    <row r="33" spans="1:6" x14ac:dyDescent="0.35">
      <c r="A33" s="882" t="s">
        <v>595</v>
      </c>
      <c r="B33" s="733">
        <v>1</v>
      </c>
    </row>
    <row r="34" spans="1:6" x14ac:dyDescent="0.35">
      <c r="A34" s="523" t="s">
        <v>596</v>
      </c>
      <c r="B34" s="733">
        <v>88</v>
      </c>
    </row>
    <row r="35" spans="1:6" x14ac:dyDescent="0.35">
      <c r="A35" s="1147" t="s">
        <v>597</v>
      </c>
      <c r="B35" s="733">
        <v>26</v>
      </c>
    </row>
    <row r="36" spans="1:6" x14ac:dyDescent="0.35">
      <c r="A36" s="882" t="s">
        <v>598</v>
      </c>
      <c r="B36" s="733">
        <v>25</v>
      </c>
    </row>
    <row r="37" spans="1:6" x14ac:dyDescent="0.35">
      <c r="A37" s="882" t="s">
        <v>575</v>
      </c>
      <c r="B37" s="733">
        <v>12</v>
      </c>
      <c r="C37" s="245" t="s">
        <v>599</v>
      </c>
      <c r="E37" s="245" t="s">
        <v>600</v>
      </c>
      <c r="F37" s="245" t="s">
        <v>601</v>
      </c>
    </row>
    <row r="38" spans="1:6" x14ac:dyDescent="0.35">
      <c r="A38" s="882" t="s">
        <v>577</v>
      </c>
      <c r="B38" s="733">
        <v>10</v>
      </c>
      <c r="C38" s="245" t="s">
        <v>599</v>
      </c>
      <c r="E38" s="245" t="s">
        <v>602</v>
      </c>
      <c r="F38" s="245" t="s">
        <v>603</v>
      </c>
    </row>
    <row r="39" spans="1:6" x14ac:dyDescent="0.35">
      <c r="A39" s="882" t="s">
        <v>604</v>
      </c>
      <c r="B39" s="733">
        <v>7</v>
      </c>
      <c r="C39" s="245" t="s">
        <v>590</v>
      </c>
      <c r="E39" s="245" t="s">
        <v>605</v>
      </c>
      <c r="F39" s="245" t="s">
        <v>606</v>
      </c>
    </row>
    <row r="40" spans="1:6" x14ac:dyDescent="0.35">
      <c r="A40" s="882" t="s">
        <v>607</v>
      </c>
      <c r="B40" s="733">
        <v>5</v>
      </c>
      <c r="C40" s="245" t="s">
        <v>109</v>
      </c>
      <c r="E40" s="245" t="s">
        <v>608</v>
      </c>
    </row>
    <row r="41" spans="1:6" x14ac:dyDescent="0.35">
      <c r="A41" s="882" t="s">
        <v>609</v>
      </c>
      <c r="B41" s="733">
        <v>2</v>
      </c>
      <c r="C41" s="245" t="s">
        <v>590</v>
      </c>
      <c r="E41" s="245" t="s">
        <v>610</v>
      </c>
    </row>
    <row r="42" spans="1:6" x14ac:dyDescent="0.35">
      <c r="A42" s="882" t="s">
        <v>611</v>
      </c>
      <c r="B42" s="733">
        <v>2</v>
      </c>
      <c r="C42" s="245" t="s">
        <v>579</v>
      </c>
      <c r="E42" s="1142" t="s">
        <v>612</v>
      </c>
    </row>
    <row r="43" spans="1:6" x14ac:dyDescent="0.35">
      <c r="A43" s="882" t="s">
        <v>613</v>
      </c>
      <c r="B43" s="733">
        <v>0</v>
      </c>
      <c r="E43" s="245" t="s">
        <v>614</v>
      </c>
    </row>
    <row r="44" spans="1:6" x14ac:dyDescent="0.35">
      <c r="A44" s="523" t="s">
        <v>615</v>
      </c>
      <c r="B44" s="733">
        <v>40</v>
      </c>
    </row>
    <row r="45" spans="1:6" x14ac:dyDescent="0.35">
      <c r="A45" s="1147" t="s">
        <v>616</v>
      </c>
      <c r="B45" s="1148">
        <v>21</v>
      </c>
    </row>
    <row r="46" spans="1:6" x14ac:dyDescent="0.35">
      <c r="A46" s="882" t="s">
        <v>617</v>
      </c>
      <c r="B46" s="733">
        <v>6</v>
      </c>
    </row>
    <row r="47" spans="1:6" x14ac:dyDescent="0.35">
      <c r="A47" s="1147" t="s">
        <v>618</v>
      </c>
      <c r="B47" s="1148">
        <v>4</v>
      </c>
    </row>
    <row r="48" spans="1:6" x14ac:dyDescent="0.35">
      <c r="A48" s="882" t="s">
        <v>619</v>
      </c>
      <c r="B48" s="733">
        <v>4</v>
      </c>
    </row>
    <row r="49" spans="1:2" x14ac:dyDescent="0.35">
      <c r="A49" s="1147" t="s">
        <v>620</v>
      </c>
      <c r="B49" s="1148">
        <v>3</v>
      </c>
    </row>
    <row r="50" spans="1:2" x14ac:dyDescent="0.35">
      <c r="A50" s="882" t="s">
        <v>621</v>
      </c>
      <c r="B50" s="733">
        <v>2</v>
      </c>
    </row>
  </sheetData>
  <mergeCells count="1">
    <mergeCell ref="E3:F3"/>
  </mergeCells>
  <pageMargins left="0.7" right="0.7" top="0.75" bottom="0.75" header="0.3" footer="0.3"/>
  <pageSetup orientation="portrait" horizontalDpi="300" verticalDpi="300" r:id="rId1"/>
  <drawing r:id="rId2"/>
  <legacyDrawing r:id="rId3"/>
  <tableParts count="1">
    <tablePart r:id="rId4"/>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topLeftCell="AI1" zoomScale="105" zoomScaleNormal="90" workbookViewId="0">
      <selection activeCell="P21" sqref="P21"/>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60"/>
      <c r="J1" s="1460"/>
      <c r="K1" s="1460"/>
    </row>
    <row r="2" spans="1:62" ht="13.4" customHeight="1" x14ac:dyDescent="0.35">
      <c r="A2" s="1160"/>
      <c r="O2" s="1186" t="s">
        <v>793</v>
      </c>
      <c r="P2" s="1466" t="s">
        <v>622</v>
      </c>
      <c r="Q2" s="1466"/>
      <c r="R2" s="1466"/>
      <c r="S2" s="1466"/>
      <c r="T2" s="1189"/>
      <c r="U2" s="1189"/>
      <c r="V2" s="1189"/>
      <c r="W2" s="1189"/>
      <c r="X2" s="1189"/>
      <c r="Y2" s="1461" t="s">
        <v>623</v>
      </c>
      <c r="Z2" s="1462"/>
      <c r="AA2" s="1462"/>
      <c r="AB2" s="1462"/>
      <c r="AC2" s="1462"/>
      <c r="AD2" s="1462"/>
      <c r="AE2" s="1189"/>
      <c r="AF2" s="1189"/>
      <c r="AG2" s="1463" t="s">
        <v>624</v>
      </c>
      <c r="AH2" s="1462"/>
      <c r="AI2" s="1462"/>
      <c r="AJ2" s="1465" t="s">
        <v>625</v>
      </c>
      <c r="AK2" s="1465"/>
      <c r="AL2" s="1465"/>
      <c r="AM2" s="1465"/>
      <c r="AN2" s="1465"/>
      <c r="AO2" s="1465"/>
      <c r="AP2" s="1465"/>
      <c r="AQ2" s="1465"/>
      <c r="AR2" s="1465"/>
      <c r="AS2" s="1465"/>
      <c r="AT2" s="1190"/>
      <c r="AU2" s="1464" t="s">
        <v>384</v>
      </c>
      <c r="AV2" s="1464"/>
      <c r="AW2" s="1464"/>
      <c r="AX2" s="1464"/>
      <c r="AY2" s="1464"/>
      <c r="AZ2" s="1464"/>
      <c r="BA2" s="1464"/>
      <c r="BB2" s="1171"/>
      <c r="BC2" s="1171"/>
      <c r="BD2" s="1171"/>
      <c r="BE2" s="1171"/>
      <c r="BF2" s="1171"/>
      <c r="BG2" s="1171"/>
      <c r="BH2" s="1171"/>
      <c r="BI2" s="1171"/>
      <c r="BJ2" s="1177" t="s">
        <v>626</v>
      </c>
    </row>
    <row r="3" spans="1:62" ht="43.4" customHeight="1" x14ac:dyDescent="0.35">
      <c r="A3" s="1161"/>
      <c r="B3" s="1161"/>
      <c r="C3" s="1161"/>
      <c r="D3" s="1161"/>
      <c r="E3" s="1161"/>
      <c r="F3" s="1161"/>
      <c r="G3" s="1161"/>
      <c r="H3" s="1161"/>
      <c r="I3" s="1161"/>
      <c r="J3" s="1161"/>
      <c r="K3" s="1161"/>
      <c r="L3" s="1161"/>
      <c r="M3" s="1161"/>
      <c r="N3" s="1161"/>
      <c r="O3" s="1187" t="s">
        <v>627</v>
      </c>
      <c r="P3" s="1170" t="s">
        <v>628</v>
      </c>
      <c r="Q3" s="1170" t="s">
        <v>629</v>
      </c>
      <c r="R3" s="1170" t="s">
        <v>630</v>
      </c>
      <c r="S3" s="1170" t="s">
        <v>631</v>
      </c>
      <c r="T3" s="1170" t="s">
        <v>632</v>
      </c>
      <c r="U3" s="1170" t="s">
        <v>633</v>
      </c>
      <c r="V3" s="1170" t="s">
        <v>634</v>
      </c>
      <c r="W3" s="1170" t="s">
        <v>635</v>
      </c>
      <c r="X3" s="1170" t="s">
        <v>636</v>
      </c>
      <c r="Y3" s="1170" t="s">
        <v>637</v>
      </c>
      <c r="Z3" s="1170"/>
      <c r="AA3" s="1170"/>
      <c r="AB3" s="1170"/>
      <c r="AC3" s="1170" t="s">
        <v>638</v>
      </c>
      <c r="AD3" s="1170" t="s">
        <v>639</v>
      </c>
      <c r="AE3" s="1170" t="s">
        <v>640</v>
      </c>
      <c r="AF3" s="1170" t="s">
        <v>641</v>
      </c>
      <c r="AG3" s="1170" t="s">
        <v>642</v>
      </c>
      <c r="AH3" s="1170" t="s">
        <v>643</v>
      </c>
      <c r="AI3" s="1170" t="s">
        <v>644</v>
      </c>
      <c r="AJ3" s="1170" t="s">
        <v>645</v>
      </c>
      <c r="AK3" s="1170" t="s">
        <v>646</v>
      </c>
      <c r="AL3" s="1170" t="s">
        <v>647</v>
      </c>
      <c r="AM3" s="1170" t="s">
        <v>648</v>
      </c>
      <c r="AN3" s="1170" t="s">
        <v>649</v>
      </c>
      <c r="AO3" s="1170" t="s">
        <v>650</v>
      </c>
      <c r="AP3" s="1170" t="s">
        <v>651</v>
      </c>
      <c r="AQ3" s="1183" t="s">
        <v>652</v>
      </c>
      <c r="AR3" s="1170" t="s">
        <v>653</v>
      </c>
      <c r="AS3" s="1170" t="s">
        <v>654</v>
      </c>
      <c r="AT3" s="1170" t="s">
        <v>655</v>
      </c>
      <c r="AU3" s="1170" t="s">
        <v>656</v>
      </c>
      <c r="AV3" s="1170" t="s">
        <v>657</v>
      </c>
      <c r="AW3" s="1170" t="s">
        <v>658</v>
      </c>
      <c r="AX3" s="1170" t="s">
        <v>659</v>
      </c>
      <c r="AY3" s="1170" t="s">
        <v>660</v>
      </c>
      <c r="AZ3" s="1170" t="s">
        <v>661</v>
      </c>
      <c r="BA3" s="1170" t="s">
        <v>638</v>
      </c>
      <c r="BB3" s="1178" t="s">
        <v>662</v>
      </c>
      <c r="BC3" s="1178" t="s">
        <v>663</v>
      </c>
      <c r="BD3" s="1178" t="s">
        <v>664</v>
      </c>
      <c r="BE3" s="1178" t="s">
        <v>665</v>
      </c>
      <c r="BF3" s="1178" t="s">
        <v>666</v>
      </c>
      <c r="BG3" s="1178" t="s">
        <v>667</v>
      </c>
      <c r="BH3" s="1178" t="s">
        <v>668</v>
      </c>
      <c r="BI3" s="1178" t="s">
        <v>669</v>
      </c>
      <c r="BJ3" s="1172" t="s">
        <v>670</v>
      </c>
    </row>
    <row r="4" spans="1:62" ht="63" customHeight="1" x14ac:dyDescent="0.35">
      <c r="A4" s="1181" t="s">
        <v>671</v>
      </c>
      <c r="B4" s="1160" t="s">
        <v>56</v>
      </c>
      <c r="C4" s="1160" t="s">
        <v>672</v>
      </c>
      <c r="D4" s="1160" t="s">
        <v>542</v>
      </c>
      <c r="E4" s="1160" t="s">
        <v>673</v>
      </c>
      <c r="F4" s="1160" t="s">
        <v>674</v>
      </c>
      <c r="G4" s="1160" t="s">
        <v>675</v>
      </c>
      <c r="H4" s="1160" t="s">
        <v>131</v>
      </c>
      <c r="I4" s="1167" t="s">
        <v>347</v>
      </c>
      <c r="J4" s="1167" t="s">
        <v>150</v>
      </c>
      <c r="K4" s="1167" t="s">
        <v>676</v>
      </c>
      <c r="L4" s="1165" t="s">
        <v>159</v>
      </c>
      <c r="M4" s="1160" t="s">
        <v>109</v>
      </c>
      <c r="N4" s="1160" t="s">
        <v>677</v>
      </c>
      <c r="O4" s="1188" t="s">
        <v>678</v>
      </c>
      <c r="P4" s="1178" t="s">
        <v>679</v>
      </c>
      <c r="Q4" s="1178" t="s">
        <v>680</v>
      </c>
      <c r="R4" s="1178" t="s">
        <v>681</v>
      </c>
      <c r="S4" s="1178" t="s">
        <v>682</v>
      </c>
      <c r="T4" s="1178" t="s">
        <v>683</v>
      </c>
      <c r="U4" s="1178" t="s">
        <v>684</v>
      </c>
      <c r="V4" s="1178" t="s">
        <v>685</v>
      </c>
      <c r="W4" s="1178" t="s">
        <v>686</v>
      </c>
      <c r="X4" s="1178" t="s">
        <v>687</v>
      </c>
      <c r="Y4" s="1178" t="s">
        <v>688</v>
      </c>
      <c r="Z4" s="1178" t="s">
        <v>689</v>
      </c>
      <c r="AA4" s="1178" t="s">
        <v>690</v>
      </c>
      <c r="AB4" s="1178" t="s">
        <v>691</v>
      </c>
      <c r="AC4" s="1178" t="s">
        <v>692</v>
      </c>
      <c r="AD4" s="1178" t="s">
        <v>693</v>
      </c>
      <c r="AE4" s="1178" t="s">
        <v>694</v>
      </c>
      <c r="AF4" s="1178" t="s">
        <v>695</v>
      </c>
      <c r="AG4" s="1178" t="s">
        <v>210</v>
      </c>
      <c r="AH4" s="1178" t="s">
        <v>211</v>
      </c>
      <c r="AI4" s="1178" t="s">
        <v>696</v>
      </c>
      <c r="AJ4" s="1178" t="s">
        <v>697</v>
      </c>
      <c r="AK4" s="1178" t="s">
        <v>698</v>
      </c>
      <c r="AL4" s="1178" t="s">
        <v>699</v>
      </c>
      <c r="AM4" s="1178" t="s">
        <v>700</v>
      </c>
      <c r="AN4" s="1178" t="s">
        <v>701</v>
      </c>
      <c r="AO4" s="1178" t="s">
        <v>702</v>
      </c>
      <c r="AP4" s="1178" t="s">
        <v>703</v>
      </c>
      <c r="AQ4" s="1179" t="s">
        <v>704</v>
      </c>
      <c r="AR4" s="1178" t="s">
        <v>705</v>
      </c>
      <c r="AS4" s="1178" t="s">
        <v>706</v>
      </c>
      <c r="AT4" s="1178" t="s">
        <v>707</v>
      </c>
      <c r="AU4" s="1178" t="s">
        <v>708</v>
      </c>
      <c r="AV4" s="1178" t="s">
        <v>709</v>
      </c>
      <c r="AW4" s="1178" t="s">
        <v>710</v>
      </c>
      <c r="AX4" s="1178" t="s">
        <v>711</v>
      </c>
      <c r="AY4" s="1178" t="s">
        <v>712</v>
      </c>
      <c r="AZ4" s="1178" t="s">
        <v>713</v>
      </c>
      <c r="BA4" s="1178"/>
      <c r="BB4" s="1178" t="s">
        <v>424</v>
      </c>
      <c r="BC4" s="1178" t="s">
        <v>714</v>
      </c>
      <c r="BD4" s="1178" t="s">
        <v>715</v>
      </c>
      <c r="BE4" s="1178" t="s">
        <v>716</v>
      </c>
      <c r="BF4" s="1178" t="s">
        <v>717</v>
      </c>
      <c r="BG4" s="1178" t="s">
        <v>718</v>
      </c>
      <c r="BH4" s="1178" t="s">
        <v>719</v>
      </c>
      <c r="BI4" s="1178" t="s">
        <v>720</v>
      </c>
      <c r="BJ4" s="1180" t="s">
        <v>721</v>
      </c>
    </row>
    <row r="5" spans="1:62" x14ac:dyDescent="0.35">
      <c r="A5" s="1162">
        <v>2021</v>
      </c>
      <c r="B5" s="1164">
        <f>Q5</f>
        <v>394.202</v>
      </c>
      <c r="C5" s="1164">
        <f>SUM(Y5:AB5)</f>
        <v>195.7</v>
      </c>
      <c r="D5" s="1164">
        <f>T5</f>
        <v>18.823</v>
      </c>
      <c r="E5" s="1164">
        <f>SUM(P5:S5)-B5</f>
        <v>0.77600000000001046</v>
      </c>
      <c r="F5" s="1164">
        <f>SUM(T5:AF5)-C5-L5-D5 - 28</f>
        <v>19.722000000000016</v>
      </c>
      <c r="G5" s="1164">
        <f>SUM(BB5:BI5)-BC5</f>
        <v>81.642999999999986</v>
      </c>
      <c r="H5" s="1164">
        <f>SUM(AG5:AI5)</f>
        <v>7.798</v>
      </c>
      <c r="I5" s="1164">
        <f>AJ5</f>
        <v>283.95749999999998</v>
      </c>
      <c r="J5" s="1164">
        <f>AL5</f>
        <v>12.347</v>
      </c>
      <c r="K5" s="1164">
        <f>SUM(AM5:AT5)</f>
        <v>29.628</v>
      </c>
      <c r="L5" s="1168">
        <f>103/4</f>
        <v>25.75</v>
      </c>
      <c r="M5" s="1164">
        <f t="shared" ref="M5:M16" si="0">SUM(AU5:BA5)</f>
        <v>31.939</v>
      </c>
      <c r="N5" s="1164">
        <f>AK5</f>
        <v>3.4</v>
      </c>
      <c r="O5" s="1191">
        <v>50</v>
      </c>
      <c r="P5" s="1185">
        <v>0.55000000000000004</v>
      </c>
      <c r="Q5" s="908">
        <v>394.202</v>
      </c>
      <c r="R5" s="1193">
        <v>0.14599999999999999</v>
      </c>
      <c r="S5" s="1193">
        <v>0.08</v>
      </c>
      <c r="T5" s="1193">
        <v>18.823</v>
      </c>
      <c r="U5" s="908">
        <v>19</v>
      </c>
      <c r="V5" s="1193">
        <v>11.481999999999999</v>
      </c>
      <c r="W5" s="755">
        <v>1.5580000000000001</v>
      </c>
      <c r="X5" s="755">
        <v>0.74</v>
      </c>
      <c r="Y5" s="908">
        <v>0.2</v>
      </c>
      <c r="Z5" s="908">
        <v>43.1</v>
      </c>
      <c r="AA5" s="908">
        <v>33.9</v>
      </c>
      <c r="AB5" s="908">
        <v>118.5</v>
      </c>
      <c r="AC5" s="908">
        <v>28</v>
      </c>
      <c r="AD5" s="755">
        <v>-2.0379999999999998</v>
      </c>
      <c r="AE5" s="908">
        <v>14.31</v>
      </c>
      <c r="AF5" s="1193">
        <v>0.42</v>
      </c>
      <c r="AG5" s="1193">
        <v>7.7279999999999998</v>
      </c>
      <c r="AH5" s="908">
        <v>7.0000000000000007E-2</v>
      </c>
      <c r="AI5" s="908">
        <v>0</v>
      </c>
      <c r="AJ5" s="908">
        <v>283.95749999999998</v>
      </c>
      <c r="AK5" s="1184">
        <v>3.4</v>
      </c>
      <c r="AL5" s="1184">
        <v>12.347</v>
      </c>
      <c r="AM5" s="1194">
        <v>0.28599999999999998</v>
      </c>
      <c r="AN5" s="1184">
        <v>2</v>
      </c>
      <c r="AO5" s="908">
        <v>0.81</v>
      </c>
      <c r="AP5" s="1184">
        <v>0.52100000000000002</v>
      </c>
      <c r="AQ5" s="1195">
        <v>10</v>
      </c>
      <c r="AR5" s="1184">
        <v>2.7</v>
      </c>
      <c r="AS5" s="1184">
        <v>0.751</v>
      </c>
      <c r="AT5" s="908">
        <v>12.56</v>
      </c>
      <c r="AU5" s="908">
        <v>0</v>
      </c>
      <c r="AV5" s="1184">
        <v>1.415</v>
      </c>
      <c r="AW5" s="1184">
        <v>10.51</v>
      </c>
      <c r="AX5" s="1184">
        <v>2.6</v>
      </c>
      <c r="AY5" s="908">
        <v>-0.33</v>
      </c>
      <c r="AZ5" s="1184">
        <v>17.744</v>
      </c>
      <c r="BA5" s="908">
        <v>0</v>
      </c>
      <c r="BB5" s="1184">
        <v>4.0999999999999996</v>
      </c>
      <c r="BC5" s="1184">
        <v>7.25</v>
      </c>
      <c r="BD5" s="1184">
        <v>48.4</v>
      </c>
      <c r="BE5" s="1193">
        <v>0.83</v>
      </c>
      <c r="BF5" s="755">
        <v>4.5110000000000001</v>
      </c>
      <c r="BG5" s="908">
        <v>3.0739999999999998</v>
      </c>
      <c r="BH5" s="1149">
        <v>-0.28399999999999997</v>
      </c>
      <c r="BI5" s="1184">
        <v>21.012</v>
      </c>
      <c r="BJ5" s="1173">
        <v>1.1599999999999999</v>
      </c>
    </row>
    <row r="6" spans="1:62" x14ac:dyDescent="0.35">
      <c r="A6" s="1162">
        <v>2022</v>
      </c>
      <c r="B6" s="1164">
        <f t="shared" ref="B6:B15" si="1">Q6</f>
        <v>17.465</v>
      </c>
      <c r="C6" s="1164">
        <f t="shared" ref="C6:C15" si="2">SUM(Y6:AB6)</f>
        <v>10.1</v>
      </c>
      <c r="D6" s="1164">
        <f t="shared" ref="D6:D15" si="3">T6</f>
        <v>2.5950000000000002</v>
      </c>
      <c r="E6" s="1164">
        <f t="shared" ref="E6:E15" si="4">SUM(P6:S6)-B6</f>
        <v>19.719000000000005</v>
      </c>
      <c r="F6" s="1164">
        <f>SUM(T6:AF6)-C6-L6-D6</f>
        <v>52.756999999999998</v>
      </c>
      <c r="G6" s="1164">
        <f t="shared" ref="G6:G16" si="5">SUM(BB6:BI6)-BC6</f>
        <v>110.24799999999999</v>
      </c>
      <c r="H6" s="1164">
        <f t="shared" ref="H6:H15" si="6">SUM(AG6:AI6)</f>
        <v>7.9489999999999998</v>
      </c>
      <c r="I6" s="1164">
        <f t="shared" ref="I6:I15" si="7">AJ6</f>
        <v>77.092500000000001</v>
      </c>
      <c r="J6" s="1164">
        <f t="shared" ref="J6:J15" si="8">AL6</f>
        <v>46.79</v>
      </c>
      <c r="K6" s="1164">
        <f t="shared" ref="K6:K16" si="9">SUM(AM6:AT6)</f>
        <v>35.671000000000006</v>
      </c>
      <c r="L6" s="1168">
        <v>0</v>
      </c>
      <c r="M6" s="1164">
        <f t="shared" si="0"/>
        <v>56.412999999999997</v>
      </c>
      <c r="N6" s="1164">
        <f t="shared" ref="N6:N15" si="10">AK6</f>
        <v>5.0999999999999996</v>
      </c>
      <c r="O6" s="1191">
        <v>55</v>
      </c>
      <c r="P6" s="1185">
        <v>15.61</v>
      </c>
      <c r="Q6" s="908">
        <v>17.465</v>
      </c>
      <c r="R6" s="1193">
        <v>0.317</v>
      </c>
      <c r="S6" s="1193">
        <v>3.7919999999999998</v>
      </c>
      <c r="T6" s="908">
        <v>2.5950000000000002</v>
      </c>
      <c r="U6" s="1184">
        <v>14.5</v>
      </c>
      <c r="V6" s="908">
        <v>25.070999999999998</v>
      </c>
      <c r="W6" s="755">
        <v>1.952</v>
      </c>
      <c r="X6" s="755">
        <v>0.61399999999999999</v>
      </c>
      <c r="Y6" s="1184">
        <v>0</v>
      </c>
      <c r="Z6" s="1184">
        <v>2.2999999999999998</v>
      </c>
      <c r="AA6" s="1184">
        <v>1.6</v>
      </c>
      <c r="AB6" s="1184">
        <v>6.2</v>
      </c>
      <c r="AC6" s="908">
        <v>0</v>
      </c>
      <c r="AD6" s="908">
        <v>1.31</v>
      </c>
      <c r="AE6" s="908">
        <v>8.61</v>
      </c>
      <c r="AF6" s="908">
        <v>0.7</v>
      </c>
      <c r="AG6" s="1193">
        <v>7.782</v>
      </c>
      <c r="AH6" s="908">
        <v>0.12</v>
      </c>
      <c r="AI6" s="908">
        <v>4.7E-2</v>
      </c>
      <c r="AJ6" s="908">
        <v>77.092500000000001</v>
      </c>
      <c r="AK6" s="1184">
        <v>5.0999999999999996</v>
      </c>
      <c r="AL6" s="1184">
        <v>46.79</v>
      </c>
      <c r="AM6" s="1149">
        <v>0.30499999999999999</v>
      </c>
      <c r="AN6" s="1184">
        <v>4.3</v>
      </c>
      <c r="AO6" s="755">
        <v>1.1000000000000001</v>
      </c>
      <c r="AP6" s="1184">
        <v>1.575</v>
      </c>
      <c r="AQ6" s="1195">
        <v>10</v>
      </c>
      <c r="AR6" s="1184">
        <v>4.5</v>
      </c>
      <c r="AS6" s="1184">
        <v>1.9810000000000001</v>
      </c>
      <c r="AT6" s="908">
        <v>11.91</v>
      </c>
      <c r="AU6" s="908">
        <v>0</v>
      </c>
      <c r="AV6" s="1184">
        <v>3.927</v>
      </c>
      <c r="AW6" s="1184">
        <v>4.2880000000000003</v>
      </c>
      <c r="AX6" s="1184">
        <v>3.7</v>
      </c>
      <c r="AY6" s="908">
        <v>-1.34</v>
      </c>
      <c r="AZ6" s="1184">
        <v>45.838000000000001</v>
      </c>
      <c r="BA6" s="908">
        <v>0</v>
      </c>
      <c r="BB6" s="1184">
        <v>11.3</v>
      </c>
      <c r="BC6" s="1184">
        <v>0</v>
      </c>
      <c r="BD6" s="1184">
        <v>1.1000000000000001</v>
      </c>
      <c r="BE6" s="1193">
        <v>1.75</v>
      </c>
      <c r="BF6" s="755">
        <v>1.7330000000000001</v>
      </c>
      <c r="BG6" s="755">
        <v>7.1440000000000001</v>
      </c>
      <c r="BH6" s="1150">
        <v>81.608999999999995</v>
      </c>
      <c r="BI6" s="1184">
        <v>5.6120000000000001</v>
      </c>
      <c r="BJ6" s="1173">
        <v>4.2</v>
      </c>
    </row>
    <row r="7" spans="1:62" x14ac:dyDescent="0.35">
      <c r="A7" s="1162">
        <v>2023</v>
      </c>
      <c r="B7" s="1164">
        <f t="shared" si="1"/>
        <v>0.48599999999999999</v>
      </c>
      <c r="C7" s="1164">
        <f t="shared" si="2"/>
        <v>0</v>
      </c>
      <c r="D7" s="1164">
        <f t="shared" si="3"/>
        <v>0.93700000000000006</v>
      </c>
      <c r="E7" s="1164">
        <f t="shared" si="4"/>
        <v>1.4159999999999999</v>
      </c>
      <c r="F7" s="1164">
        <f t="shared" ref="F7:F15" si="11">SUM(T7:AF7)-C7-L7-D7</f>
        <v>12</v>
      </c>
      <c r="G7" s="1164">
        <f t="shared" si="5"/>
        <v>12.726000000000001</v>
      </c>
      <c r="H7" s="1164">
        <f t="shared" si="6"/>
        <v>4.7519999999999998</v>
      </c>
      <c r="I7" s="1164">
        <f t="shared" si="7"/>
        <v>1</v>
      </c>
      <c r="J7" s="1164">
        <f t="shared" si="8"/>
        <v>38.595999999999997</v>
      </c>
      <c r="K7" s="1164">
        <f t="shared" si="9"/>
        <v>24.216000000000001</v>
      </c>
      <c r="L7" s="1168">
        <v>0</v>
      </c>
      <c r="M7" s="1164">
        <f t="shared" si="0"/>
        <v>15.652999999999999</v>
      </c>
      <c r="N7" s="1164">
        <f t="shared" si="10"/>
        <v>0</v>
      </c>
      <c r="O7" s="1191">
        <v>0.7</v>
      </c>
      <c r="P7" s="1185">
        <v>0.96</v>
      </c>
      <c r="Q7" s="908">
        <v>0.48599999999999999</v>
      </c>
      <c r="R7" s="1193">
        <v>0.45600000000000002</v>
      </c>
      <c r="S7" s="908">
        <v>0</v>
      </c>
      <c r="T7" s="1151">
        <v>0.93700000000000006</v>
      </c>
      <c r="U7" s="1184">
        <v>3</v>
      </c>
      <c r="V7" s="1193">
        <v>7.891</v>
      </c>
      <c r="W7" s="755">
        <v>0.61699999999999999</v>
      </c>
      <c r="X7" s="755">
        <v>8.4000000000000005E-2</v>
      </c>
      <c r="Y7" s="1184">
        <v>0</v>
      </c>
      <c r="Z7" s="1184">
        <v>0</v>
      </c>
      <c r="AA7" s="1184">
        <v>0</v>
      </c>
      <c r="AB7" s="1184">
        <v>0</v>
      </c>
      <c r="AC7" s="908">
        <v>0</v>
      </c>
      <c r="AD7" s="908">
        <v>0.318</v>
      </c>
      <c r="AE7" s="1193">
        <v>-0.11000000000000001</v>
      </c>
      <c r="AF7" s="908">
        <v>0.2</v>
      </c>
      <c r="AG7" s="1193">
        <v>4.6749999999999998</v>
      </c>
      <c r="AH7" s="908">
        <v>0.06</v>
      </c>
      <c r="AI7" s="908">
        <v>1.7000000000000001E-2</v>
      </c>
      <c r="AJ7" s="908">
        <v>1</v>
      </c>
      <c r="AK7" s="1184">
        <v>0</v>
      </c>
      <c r="AL7" s="1184">
        <v>38.595999999999997</v>
      </c>
      <c r="AM7" s="908">
        <v>0.14899999999999999</v>
      </c>
      <c r="AN7" s="1184">
        <v>1.2</v>
      </c>
      <c r="AO7" s="755">
        <v>0.53</v>
      </c>
      <c r="AP7" s="1184">
        <v>0.38100000000000001</v>
      </c>
      <c r="AQ7" s="1195">
        <v>8</v>
      </c>
      <c r="AR7" s="1184">
        <v>4.5</v>
      </c>
      <c r="AS7" s="1184">
        <v>0.76600000000000001</v>
      </c>
      <c r="AT7" s="908">
        <v>8.69</v>
      </c>
      <c r="AU7" s="908">
        <v>0</v>
      </c>
      <c r="AV7" s="1184">
        <v>1.93</v>
      </c>
      <c r="AW7" s="1184">
        <v>1.4379999999999999</v>
      </c>
      <c r="AX7" s="1184">
        <v>2.6</v>
      </c>
      <c r="AY7" s="755">
        <v>-2.48</v>
      </c>
      <c r="AZ7" s="1184">
        <v>12.164999999999999</v>
      </c>
      <c r="BA7" s="755">
        <v>0</v>
      </c>
      <c r="BB7" s="1184">
        <v>8.4</v>
      </c>
      <c r="BC7" s="1184">
        <v>0</v>
      </c>
      <c r="BD7" s="1184">
        <v>0.3</v>
      </c>
      <c r="BE7" s="1193">
        <v>1.8</v>
      </c>
      <c r="BF7" s="755">
        <v>0</v>
      </c>
      <c r="BG7" s="755">
        <v>0</v>
      </c>
      <c r="BH7" s="1149">
        <v>1.3759999999999999</v>
      </c>
      <c r="BI7" s="1184">
        <v>0.85</v>
      </c>
      <c r="BJ7" s="1173">
        <v>2.7</v>
      </c>
    </row>
    <row r="8" spans="1:62" x14ac:dyDescent="0.35">
      <c r="A8" s="1162">
        <v>2024</v>
      </c>
      <c r="B8" s="1164">
        <f t="shared" si="1"/>
        <v>0</v>
      </c>
      <c r="C8" s="1164">
        <f t="shared" si="2"/>
        <v>0</v>
      </c>
      <c r="D8" s="1164">
        <f t="shared" si="3"/>
        <v>0.16</v>
      </c>
      <c r="E8" s="1164">
        <f t="shared" si="4"/>
        <v>1.4790000000000001</v>
      </c>
      <c r="F8" s="1164">
        <f t="shared" si="11"/>
        <v>4.2219999999999995</v>
      </c>
      <c r="G8" s="1164">
        <f t="shared" si="5"/>
        <v>1.365</v>
      </c>
      <c r="H8" s="1164">
        <f t="shared" si="6"/>
        <v>4.637999999999999</v>
      </c>
      <c r="I8" s="1164">
        <f t="shared" si="7"/>
        <v>0</v>
      </c>
      <c r="J8" s="1164">
        <f t="shared" si="8"/>
        <v>31.911000000000001</v>
      </c>
      <c r="K8" s="1164">
        <f t="shared" si="9"/>
        <v>9.6430000000000007</v>
      </c>
      <c r="L8" s="1168">
        <v>0</v>
      </c>
      <c r="M8" s="1164">
        <f t="shared" si="0"/>
        <v>3.9320000000000004</v>
      </c>
      <c r="N8" s="1164">
        <f t="shared" si="10"/>
        <v>0</v>
      </c>
      <c r="O8" s="1191">
        <v>0.7</v>
      </c>
      <c r="P8" s="1185">
        <v>0.96</v>
      </c>
      <c r="Q8" s="1184">
        <v>0</v>
      </c>
      <c r="R8" s="1193">
        <v>0.51900000000000002</v>
      </c>
      <c r="S8" s="908">
        <v>0</v>
      </c>
      <c r="T8" s="1152">
        <v>0.16</v>
      </c>
      <c r="U8" s="1184">
        <v>2.8</v>
      </c>
      <c r="V8" s="908">
        <v>0.504</v>
      </c>
      <c r="W8" s="755">
        <v>0.47199999999999998</v>
      </c>
      <c r="X8" s="755">
        <v>2E-3</v>
      </c>
      <c r="Y8" s="1184">
        <v>0</v>
      </c>
      <c r="Z8" s="1184">
        <v>0</v>
      </c>
      <c r="AA8" s="1184">
        <v>0</v>
      </c>
      <c r="AB8" s="1184">
        <v>0</v>
      </c>
      <c r="AC8" s="908">
        <v>0</v>
      </c>
      <c r="AD8" s="908">
        <v>0.34399999999999997</v>
      </c>
      <c r="AE8" s="1193">
        <v>0</v>
      </c>
      <c r="AF8" s="1193">
        <v>0.1</v>
      </c>
      <c r="AG8" s="1193">
        <v>4.5739999999999998</v>
      </c>
      <c r="AH8" s="908">
        <v>0.06</v>
      </c>
      <c r="AI8" s="908">
        <v>4.0000000000000001E-3</v>
      </c>
      <c r="AJ8" s="908">
        <v>0</v>
      </c>
      <c r="AK8" s="1184">
        <v>0</v>
      </c>
      <c r="AL8" s="1184">
        <v>31.911000000000001</v>
      </c>
      <c r="AM8" s="908">
        <v>4.1000000000000002E-2</v>
      </c>
      <c r="AN8" s="1184">
        <v>0.4</v>
      </c>
      <c r="AO8" s="755">
        <v>0.41</v>
      </c>
      <c r="AP8" s="1184">
        <v>0.13100000000000001</v>
      </c>
      <c r="AQ8" s="1195">
        <v>0</v>
      </c>
      <c r="AR8" s="1184">
        <v>3</v>
      </c>
      <c r="AS8" s="1184">
        <v>0.30099999999999999</v>
      </c>
      <c r="AT8" s="755">
        <v>5.36</v>
      </c>
      <c r="AU8" s="908">
        <v>0</v>
      </c>
      <c r="AV8" s="1184">
        <v>0.79600000000000004</v>
      </c>
      <c r="AW8" s="1184">
        <v>0.27500000000000002</v>
      </c>
      <c r="AX8" s="1184">
        <v>1</v>
      </c>
      <c r="AY8" s="755">
        <v>-2.6</v>
      </c>
      <c r="AZ8" s="1184">
        <v>4.4610000000000003</v>
      </c>
      <c r="BA8" s="755">
        <v>0</v>
      </c>
      <c r="BB8" s="1184">
        <v>0.2</v>
      </c>
      <c r="BC8" s="1184">
        <v>0</v>
      </c>
      <c r="BD8" s="1184">
        <v>0</v>
      </c>
      <c r="BE8" s="1193">
        <v>1.95</v>
      </c>
      <c r="BF8" s="755">
        <v>0</v>
      </c>
      <c r="BG8" s="755">
        <v>0</v>
      </c>
      <c r="BH8" s="1149">
        <v>-0.875</v>
      </c>
      <c r="BI8" s="1184">
        <v>0.09</v>
      </c>
      <c r="BJ8" s="1174">
        <v>0.87</v>
      </c>
    </row>
    <row r="9" spans="1:62" x14ac:dyDescent="0.35">
      <c r="A9" s="1162">
        <v>2025</v>
      </c>
      <c r="B9" s="1164">
        <f t="shared" si="1"/>
        <v>0</v>
      </c>
      <c r="C9" s="1164">
        <f t="shared" si="2"/>
        <v>0</v>
      </c>
      <c r="D9" s="1164">
        <f t="shared" si="3"/>
        <v>3.3000000000000002E-2</v>
      </c>
      <c r="E9" s="1164">
        <f t="shared" si="4"/>
        <v>1.63</v>
      </c>
      <c r="F9" s="1164">
        <f t="shared" si="11"/>
        <v>2.3719999999999999</v>
      </c>
      <c r="G9" s="1164">
        <f t="shared" si="5"/>
        <v>-0.90100000000000025</v>
      </c>
      <c r="H9" s="1164">
        <f t="shared" si="6"/>
        <v>1.8800000000000001</v>
      </c>
      <c r="I9" s="1164">
        <f t="shared" si="7"/>
        <v>0</v>
      </c>
      <c r="J9" s="1164">
        <f t="shared" si="8"/>
        <v>23.099</v>
      </c>
      <c r="K9" s="1164">
        <f t="shared" si="9"/>
        <v>4.5789999999999997</v>
      </c>
      <c r="L9" s="1168">
        <v>0</v>
      </c>
      <c r="M9" s="1164">
        <f t="shared" si="0"/>
        <v>-0.74299999999999988</v>
      </c>
      <c r="N9" s="1164">
        <f t="shared" si="10"/>
        <v>0</v>
      </c>
      <c r="O9" s="1191">
        <v>0.7</v>
      </c>
      <c r="P9" s="1185">
        <v>1.06</v>
      </c>
      <c r="Q9" s="1184">
        <v>0</v>
      </c>
      <c r="R9" s="1193">
        <v>0.56999999999999995</v>
      </c>
      <c r="S9" s="908">
        <v>0</v>
      </c>
      <c r="T9" s="1153">
        <v>3.3000000000000002E-2</v>
      </c>
      <c r="U9" s="1184">
        <v>2</v>
      </c>
      <c r="V9" s="1153">
        <v>0</v>
      </c>
      <c r="W9" s="755">
        <v>0.21299999999999999</v>
      </c>
      <c r="X9" s="755">
        <v>2E-3</v>
      </c>
      <c r="Y9" s="1184">
        <v>0</v>
      </c>
      <c r="Z9" s="1184">
        <v>0</v>
      </c>
      <c r="AA9" s="1184">
        <v>0</v>
      </c>
      <c r="AB9" s="1184">
        <v>0</v>
      </c>
      <c r="AC9" s="908">
        <v>0</v>
      </c>
      <c r="AD9" s="908">
        <v>0.157</v>
      </c>
      <c r="AE9" s="1193">
        <v>0</v>
      </c>
      <c r="AF9" s="1193">
        <v>0</v>
      </c>
      <c r="AG9" s="908">
        <v>1.81</v>
      </c>
      <c r="AH9" s="908">
        <v>7.0000000000000007E-2</v>
      </c>
      <c r="AI9" s="908">
        <v>0</v>
      </c>
      <c r="AJ9" s="1184">
        <v>0</v>
      </c>
      <c r="AK9" s="1184">
        <v>0</v>
      </c>
      <c r="AL9" s="1184">
        <v>23.099</v>
      </c>
      <c r="AM9" s="908">
        <v>1.2999999999999999E-2</v>
      </c>
      <c r="AN9" s="1184">
        <v>0.3</v>
      </c>
      <c r="AO9" s="1182">
        <v>0.15</v>
      </c>
      <c r="AP9" s="1184">
        <v>0.112</v>
      </c>
      <c r="AQ9" s="1195">
        <v>0</v>
      </c>
      <c r="AR9" s="1184">
        <v>0.2</v>
      </c>
      <c r="AS9" s="1184">
        <v>7.3999999999999996E-2</v>
      </c>
      <c r="AT9" s="755">
        <v>3.73</v>
      </c>
      <c r="AU9" s="908">
        <v>0</v>
      </c>
      <c r="AV9" s="1184">
        <v>5.3999999999999999E-2</v>
      </c>
      <c r="AW9" s="1184">
        <v>0.13100000000000001</v>
      </c>
      <c r="AX9" s="1184">
        <v>0</v>
      </c>
      <c r="AY9" s="755">
        <v>-2.71</v>
      </c>
      <c r="AZ9" s="1184">
        <v>1.782</v>
      </c>
      <c r="BA9" s="755">
        <v>0</v>
      </c>
      <c r="BB9" s="1184">
        <v>0</v>
      </c>
      <c r="BC9" s="1184">
        <v>0</v>
      </c>
      <c r="BD9" s="1184">
        <v>0</v>
      </c>
      <c r="BE9" s="1193">
        <v>1.43</v>
      </c>
      <c r="BF9" s="755">
        <v>0</v>
      </c>
      <c r="BG9" s="755">
        <v>0</v>
      </c>
      <c r="BH9" s="1149">
        <v>-2.3410000000000002</v>
      </c>
      <c r="BI9" s="1184">
        <v>0.01</v>
      </c>
      <c r="BJ9" s="1174">
        <v>0.33</v>
      </c>
    </row>
    <row r="10" spans="1:62" x14ac:dyDescent="0.35">
      <c r="A10" s="1162">
        <v>2026</v>
      </c>
      <c r="B10" s="1164">
        <f t="shared" si="1"/>
        <v>0</v>
      </c>
      <c r="C10" s="1164">
        <f t="shared" si="2"/>
        <v>0</v>
      </c>
      <c r="D10" s="1164">
        <f t="shared" si="3"/>
        <v>3.2000000000000001E-2</v>
      </c>
      <c r="E10" s="1164">
        <f t="shared" si="4"/>
        <v>1.671</v>
      </c>
      <c r="F10" s="1164">
        <f t="shared" si="11"/>
        <v>0.49</v>
      </c>
      <c r="G10" s="1164">
        <f t="shared" si="5"/>
        <v>-2.1500000000000004</v>
      </c>
      <c r="H10" s="1164">
        <f t="shared" si="6"/>
        <v>1.446</v>
      </c>
      <c r="I10" s="1164">
        <f t="shared" si="7"/>
        <v>0</v>
      </c>
      <c r="J10" s="1164">
        <f t="shared" si="8"/>
        <v>10.766999999999999</v>
      </c>
      <c r="K10" s="1164">
        <f t="shared" si="9"/>
        <v>2.9130000000000003</v>
      </c>
      <c r="L10" s="1168"/>
      <c r="M10" s="1164">
        <f t="shared" si="0"/>
        <v>-21.606000000000002</v>
      </c>
      <c r="N10" s="1164">
        <f t="shared" si="10"/>
        <v>0</v>
      </c>
      <c r="O10" s="1191">
        <v>0.7</v>
      </c>
      <c r="P10" s="1185">
        <v>1.07</v>
      </c>
      <c r="Q10" s="1184">
        <v>0</v>
      </c>
      <c r="R10" s="1193">
        <v>0.60099999999999998</v>
      </c>
      <c r="S10" s="908">
        <v>0</v>
      </c>
      <c r="T10" s="1149">
        <v>3.2000000000000001E-2</v>
      </c>
      <c r="U10" s="1184">
        <v>0.3</v>
      </c>
      <c r="V10" s="1193">
        <v>0</v>
      </c>
      <c r="W10" s="755">
        <v>0.188</v>
      </c>
      <c r="X10" s="755">
        <v>2E-3</v>
      </c>
      <c r="Y10" s="1184">
        <v>0</v>
      </c>
      <c r="Z10" s="1184">
        <v>0</v>
      </c>
      <c r="AA10" s="1184">
        <v>0</v>
      </c>
      <c r="AB10" s="1184">
        <v>0</v>
      </c>
      <c r="AC10" s="908">
        <v>0</v>
      </c>
      <c r="AD10" s="908">
        <v>0</v>
      </c>
      <c r="AE10" s="908">
        <v>0</v>
      </c>
      <c r="AF10" s="1193">
        <v>0</v>
      </c>
      <c r="AG10" s="908">
        <v>1.3759999999999999</v>
      </c>
      <c r="AH10" s="908">
        <v>7.0000000000000007E-2</v>
      </c>
      <c r="AI10" s="908">
        <v>0</v>
      </c>
      <c r="AJ10" s="1154">
        <v>0</v>
      </c>
      <c r="AK10" s="1184">
        <v>0</v>
      </c>
      <c r="AL10" s="1184">
        <v>10.766999999999999</v>
      </c>
      <c r="AM10" s="908">
        <v>3.0000000000000001E-3</v>
      </c>
      <c r="AN10" s="1184">
        <v>0.2</v>
      </c>
      <c r="AO10" s="1182">
        <v>0.1</v>
      </c>
      <c r="AP10" s="1184">
        <v>0.05</v>
      </c>
      <c r="AQ10" s="1195">
        <v>0</v>
      </c>
      <c r="AR10" s="1184">
        <v>0</v>
      </c>
      <c r="AS10" s="1184">
        <v>0</v>
      </c>
      <c r="AT10" s="755">
        <v>2.56</v>
      </c>
      <c r="AU10" s="908">
        <v>0</v>
      </c>
      <c r="AV10" s="1184">
        <v>3.7999999999999999E-2</v>
      </c>
      <c r="AW10" s="1184">
        <v>2.5999999999999999E-2</v>
      </c>
      <c r="AX10" s="1184">
        <v>0</v>
      </c>
      <c r="AY10" s="755">
        <v>-2.6700000000000004</v>
      </c>
      <c r="AZ10" s="1184">
        <v>0</v>
      </c>
      <c r="BA10" s="755">
        <v>-19</v>
      </c>
      <c r="BB10" s="1184">
        <v>0</v>
      </c>
      <c r="BC10" s="1184">
        <v>0</v>
      </c>
      <c r="BD10" s="1184">
        <v>0</v>
      </c>
      <c r="BE10" s="755">
        <v>0.88</v>
      </c>
      <c r="BF10" s="755">
        <v>0</v>
      </c>
      <c r="BG10" s="755">
        <v>0</v>
      </c>
      <c r="BH10" s="908">
        <v>-2.8200000000000003</v>
      </c>
      <c r="BI10" s="1184">
        <v>-0.21</v>
      </c>
      <c r="BJ10" s="1174">
        <v>0.17</v>
      </c>
    </row>
    <row r="11" spans="1:62" x14ac:dyDescent="0.35">
      <c r="A11" s="1162">
        <v>2027</v>
      </c>
      <c r="B11" s="1164">
        <f t="shared" si="1"/>
        <v>0</v>
      </c>
      <c r="C11" s="1164">
        <f t="shared" si="2"/>
        <v>0</v>
      </c>
      <c r="D11" s="1164">
        <f t="shared" si="3"/>
        <v>3.2000000000000001E-2</v>
      </c>
      <c r="E11" s="1164">
        <f t="shared" si="4"/>
        <v>1.7130000000000001</v>
      </c>
      <c r="F11" s="1164">
        <f t="shared" si="11"/>
        <v>0</v>
      </c>
      <c r="G11" s="1164">
        <f t="shared" si="5"/>
        <v>-4.8169999999999993</v>
      </c>
      <c r="H11" s="1164">
        <f t="shared" si="6"/>
        <v>0.65699999999999992</v>
      </c>
      <c r="I11" s="1164">
        <f t="shared" si="7"/>
        <v>0</v>
      </c>
      <c r="J11" s="1164">
        <f t="shared" si="8"/>
        <v>4.0789999999999997</v>
      </c>
      <c r="K11" s="1164">
        <f t="shared" si="9"/>
        <v>2.46</v>
      </c>
      <c r="L11" s="1168"/>
      <c r="M11" s="1164">
        <f t="shared" si="0"/>
        <v>-14.713000000000001</v>
      </c>
      <c r="N11" s="1164">
        <f t="shared" si="10"/>
        <v>0</v>
      </c>
      <c r="O11" s="1191">
        <v>0.3</v>
      </c>
      <c r="P11" s="1185">
        <v>1.08</v>
      </c>
      <c r="Q11" s="1184">
        <v>0</v>
      </c>
      <c r="R11" s="1193">
        <v>0.63300000000000001</v>
      </c>
      <c r="S11" s="1152">
        <v>0</v>
      </c>
      <c r="T11" s="1184">
        <v>3.2000000000000001E-2</v>
      </c>
      <c r="U11" s="1184">
        <v>0</v>
      </c>
      <c r="V11" s="908">
        <v>0</v>
      </c>
      <c r="W11" s="755">
        <v>0</v>
      </c>
      <c r="X11" s="755">
        <v>0</v>
      </c>
      <c r="Y11" s="1184">
        <v>0</v>
      </c>
      <c r="Z11" s="1184">
        <v>0</v>
      </c>
      <c r="AA11" s="1184">
        <v>0</v>
      </c>
      <c r="AB11" s="1184">
        <v>0</v>
      </c>
      <c r="AC11" s="908">
        <v>0</v>
      </c>
      <c r="AD11" s="1193">
        <v>0</v>
      </c>
      <c r="AE11" s="908">
        <v>0</v>
      </c>
      <c r="AF11" s="1193">
        <v>0</v>
      </c>
      <c r="AG11" s="908">
        <v>0.57699999999999996</v>
      </c>
      <c r="AH11" s="908">
        <v>0.08</v>
      </c>
      <c r="AI11" s="908">
        <v>0</v>
      </c>
      <c r="AJ11" s="908">
        <v>0</v>
      </c>
      <c r="AK11" s="1184">
        <v>0</v>
      </c>
      <c r="AL11" s="1184">
        <v>4.0789999999999997</v>
      </c>
      <c r="AM11" s="1184">
        <v>0</v>
      </c>
      <c r="AN11" s="1184">
        <v>0.1</v>
      </c>
      <c r="AO11" s="1182">
        <v>0.1</v>
      </c>
      <c r="AP11" s="1184">
        <v>0.03</v>
      </c>
      <c r="AQ11" s="1195">
        <v>0</v>
      </c>
      <c r="AR11" s="1184">
        <v>0</v>
      </c>
      <c r="AS11" s="1184">
        <v>0</v>
      </c>
      <c r="AT11" s="1182">
        <v>2.23</v>
      </c>
      <c r="AU11" s="908">
        <v>0</v>
      </c>
      <c r="AV11" s="1184">
        <v>1.7000000000000001E-2</v>
      </c>
      <c r="AW11" s="1184">
        <v>0</v>
      </c>
      <c r="AX11" s="1184">
        <v>0</v>
      </c>
      <c r="AY11" s="755">
        <v>-2.73</v>
      </c>
      <c r="AZ11" s="1184">
        <v>0</v>
      </c>
      <c r="BA11" s="755">
        <v>-12</v>
      </c>
      <c r="BB11" s="1184">
        <v>0</v>
      </c>
      <c r="BC11" s="1184">
        <v>0</v>
      </c>
      <c r="BD11" s="1184">
        <v>0</v>
      </c>
      <c r="BE11" s="755">
        <v>0.28000000000000003</v>
      </c>
      <c r="BF11" s="755">
        <v>0</v>
      </c>
      <c r="BG11" s="755">
        <v>0</v>
      </c>
      <c r="BH11" s="1153">
        <v>-5.0069999999999997</v>
      </c>
      <c r="BI11" s="1184">
        <v>-0.09</v>
      </c>
      <c r="BJ11" s="1175">
        <v>0.06</v>
      </c>
    </row>
    <row r="12" spans="1:62" x14ac:dyDescent="0.35">
      <c r="A12" s="1162">
        <v>2028</v>
      </c>
      <c r="B12" s="1164">
        <f t="shared" si="1"/>
        <v>0</v>
      </c>
      <c r="C12" s="1164">
        <f t="shared" si="2"/>
        <v>0</v>
      </c>
      <c r="D12" s="1164">
        <f t="shared" si="3"/>
        <v>3.3000000000000002E-2</v>
      </c>
      <c r="E12" s="1164">
        <f t="shared" si="4"/>
        <v>1.7130000000000001</v>
      </c>
      <c r="F12" s="1164">
        <f t="shared" si="11"/>
        <v>0</v>
      </c>
      <c r="G12" s="1164">
        <f t="shared" si="5"/>
        <v>-5.0590000000000002</v>
      </c>
      <c r="H12" s="1164">
        <f t="shared" si="6"/>
        <v>-1.071</v>
      </c>
      <c r="I12" s="1164">
        <f t="shared" si="7"/>
        <v>0</v>
      </c>
      <c r="J12" s="1164">
        <f t="shared" si="8"/>
        <v>1.635</v>
      </c>
      <c r="K12" s="1164">
        <f t="shared" si="9"/>
        <v>1.81</v>
      </c>
      <c r="L12" s="1168"/>
      <c r="M12" s="1164">
        <f t="shared" si="0"/>
        <v>-2.7690000000000001</v>
      </c>
      <c r="N12" s="1164">
        <f t="shared" si="10"/>
        <v>0</v>
      </c>
      <c r="O12" s="1191">
        <v>0.3</v>
      </c>
      <c r="P12" s="1185">
        <v>1.08</v>
      </c>
      <c r="Q12" s="1184">
        <v>0</v>
      </c>
      <c r="R12" s="1193">
        <v>0.63300000000000001</v>
      </c>
      <c r="S12" s="1152">
        <v>0</v>
      </c>
      <c r="T12" s="1155">
        <v>3.3000000000000002E-2</v>
      </c>
      <c r="U12" s="1184">
        <v>0</v>
      </c>
      <c r="V12" s="908">
        <v>0</v>
      </c>
      <c r="W12" s="755">
        <v>0</v>
      </c>
      <c r="X12" s="755">
        <v>0</v>
      </c>
      <c r="Y12" s="1184">
        <v>0</v>
      </c>
      <c r="Z12" s="1184">
        <v>0</v>
      </c>
      <c r="AA12" s="1184">
        <v>0</v>
      </c>
      <c r="AB12" s="1184">
        <v>0</v>
      </c>
      <c r="AC12" s="908">
        <v>0</v>
      </c>
      <c r="AD12" s="908">
        <v>0</v>
      </c>
      <c r="AE12" s="908">
        <v>0</v>
      </c>
      <c r="AF12" s="908">
        <v>0</v>
      </c>
      <c r="AG12" s="908">
        <v>-1.151</v>
      </c>
      <c r="AH12" s="908">
        <v>0.08</v>
      </c>
      <c r="AI12" s="908">
        <v>0</v>
      </c>
      <c r="AJ12" s="908">
        <v>0</v>
      </c>
      <c r="AK12" s="1184">
        <v>0</v>
      </c>
      <c r="AL12" s="1184">
        <v>1.635</v>
      </c>
      <c r="AM12" s="1184">
        <v>0</v>
      </c>
      <c r="AN12" s="1184">
        <v>0.1</v>
      </c>
      <c r="AO12" s="755">
        <v>0</v>
      </c>
      <c r="AP12" s="1184">
        <v>0</v>
      </c>
      <c r="AQ12" s="1195">
        <v>0</v>
      </c>
      <c r="AR12" s="1184">
        <v>0</v>
      </c>
      <c r="AS12" s="1184">
        <v>0</v>
      </c>
      <c r="AT12" s="1182">
        <v>1.71</v>
      </c>
      <c r="AU12" s="908">
        <v>0</v>
      </c>
      <c r="AV12" s="1184">
        <v>1E-3</v>
      </c>
      <c r="AW12" s="1184">
        <v>0</v>
      </c>
      <c r="AX12" s="1184">
        <v>0</v>
      </c>
      <c r="AY12" s="755">
        <v>-2.77</v>
      </c>
      <c r="AZ12" s="1184">
        <v>0</v>
      </c>
      <c r="BA12" s="755">
        <v>0</v>
      </c>
      <c r="BB12" s="1184">
        <v>0</v>
      </c>
      <c r="BC12" s="1184">
        <v>0</v>
      </c>
      <c r="BD12" s="1184">
        <v>0</v>
      </c>
      <c r="BE12" s="755">
        <v>0.1</v>
      </c>
      <c r="BF12" s="755">
        <v>0</v>
      </c>
      <c r="BG12" s="755">
        <v>0</v>
      </c>
      <c r="BH12" s="1153">
        <v>-5.069</v>
      </c>
      <c r="BI12" s="1184">
        <v>-0.09</v>
      </c>
      <c r="BJ12" s="1175">
        <v>0.03</v>
      </c>
    </row>
    <row r="13" spans="1:62" x14ac:dyDescent="0.35">
      <c r="A13" s="1162">
        <v>2029</v>
      </c>
      <c r="B13" s="1164">
        <f t="shared" si="1"/>
        <v>0</v>
      </c>
      <c r="C13" s="1164">
        <f t="shared" si="2"/>
        <v>0</v>
      </c>
      <c r="D13" s="1164">
        <f t="shared" si="3"/>
        <v>3.3000000000000002E-2</v>
      </c>
      <c r="E13" s="1164">
        <f t="shared" si="4"/>
        <v>1.7130000000000001</v>
      </c>
      <c r="F13" s="1164">
        <f t="shared" si="11"/>
        <v>0</v>
      </c>
      <c r="G13" s="1164">
        <f t="shared" si="5"/>
        <v>-5.218</v>
      </c>
      <c r="H13" s="1164">
        <f t="shared" si="6"/>
        <v>-1.964</v>
      </c>
      <c r="I13" s="1164">
        <f t="shared" si="7"/>
        <v>0</v>
      </c>
      <c r="J13" s="1164">
        <f t="shared" si="8"/>
        <v>-1.7000000000000001E-2</v>
      </c>
      <c r="K13" s="1164">
        <f t="shared" si="9"/>
        <v>1</v>
      </c>
      <c r="L13" s="1168"/>
      <c r="M13" s="1164">
        <f t="shared" si="0"/>
        <v>-2.75</v>
      </c>
      <c r="N13" s="1164">
        <f t="shared" si="10"/>
        <v>0</v>
      </c>
      <c r="O13" s="1191">
        <v>0.3</v>
      </c>
      <c r="P13" s="1185">
        <v>1.08</v>
      </c>
      <c r="Q13" s="1184">
        <v>0</v>
      </c>
      <c r="R13" s="1193">
        <v>0.63300000000000001</v>
      </c>
      <c r="S13" s="1152">
        <v>0</v>
      </c>
      <c r="T13" s="908">
        <v>3.3000000000000002E-2</v>
      </c>
      <c r="U13" s="1184">
        <v>0</v>
      </c>
      <c r="V13" s="908">
        <v>0</v>
      </c>
      <c r="W13" s="755">
        <v>0</v>
      </c>
      <c r="X13" s="755">
        <v>0</v>
      </c>
      <c r="Y13" s="1184">
        <v>0</v>
      </c>
      <c r="Z13" s="1184">
        <v>0</v>
      </c>
      <c r="AA13" s="1184">
        <v>0</v>
      </c>
      <c r="AB13" s="1184">
        <v>0</v>
      </c>
      <c r="AC13" s="908">
        <v>0</v>
      </c>
      <c r="AD13" s="908">
        <v>0</v>
      </c>
      <c r="AE13" s="908">
        <v>0</v>
      </c>
      <c r="AF13" s="908">
        <v>0</v>
      </c>
      <c r="AG13" s="1184">
        <v>-2.044</v>
      </c>
      <c r="AH13" s="908">
        <v>0.08</v>
      </c>
      <c r="AI13" s="908">
        <v>0</v>
      </c>
      <c r="AJ13" s="1156">
        <v>0</v>
      </c>
      <c r="AK13" s="1184">
        <v>0</v>
      </c>
      <c r="AL13" s="1184">
        <v>-1.7000000000000001E-2</v>
      </c>
      <c r="AM13" s="1184">
        <v>0</v>
      </c>
      <c r="AN13" s="1184">
        <v>0</v>
      </c>
      <c r="AO13" s="755">
        <v>0</v>
      </c>
      <c r="AP13" s="1184">
        <v>0</v>
      </c>
      <c r="AQ13" s="1195">
        <v>0</v>
      </c>
      <c r="AR13" s="1184">
        <v>0</v>
      </c>
      <c r="AS13" s="1184">
        <v>0</v>
      </c>
      <c r="AT13" s="1182">
        <v>1</v>
      </c>
      <c r="AU13" s="908">
        <v>0</v>
      </c>
      <c r="AV13" s="1184">
        <v>0</v>
      </c>
      <c r="AW13" s="1184">
        <v>0</v>
      </c>
      <c r="AX13" s="1184">
        <v>0</v>
      </c>
      <c r="AY13" s="755">
        <v>-2.75</v>
      </c>
      <c r="AZ13" s="1184">
        <v>0</v>
      </c>
      <c r="BA13" s="755">
        <v>0</v>
      </c>
      <c r="BB13" s="1184">
        <v>0</v>
      </c>
      <c r="BC13" s="1184">
        <v>0</v>
      </c>
      <c r="BD13" s="1184">
        <v>0</v>
      </c>
      <c r="BE13" s="755">
        <v>0</v>
      </c>
      <c r="BF13" s="1157">
        <v>0</v>
      </c>
      <c r="BG13" s="755">
        <v>0</v>
      </c>
      <c r="BH13" s="1153">
        <v>-5.1180000000000003</v>
      </c>
      <c r="BI13" s="1184">
        <v>-0.1</v>
      </c>
      <c r="BJ13" s="1175">
        <v>0.01</v>
      </c>
    </row>
    <row r="14" spans="1:62" x14ac:dyDescent="0.35">
      <c r="A14" s="1162">
        <v>2030</v>
      </c>
      <c r="B14" s="1164">
        <f t="shared" si="1"/>
        <v>0</v>
      </c>
      <c r="C14" s="1164">
        <f t="shared" si="2"/>
        <v>0</v>
      </c>
      <c r="D14" s="1164">
        <f t="shared" si="3"/>
        <v>3.3000000000000002E-2</v>
      </c>
      <c r="E14" s="1164">
        <f t="shared" si="4"/>
        <v>1.8130000000000002</v>
      </c>
      <c r="F14" s="1164">
        <f t="shared" si="11"/>
        <v>0</v>
      </c>
      <c r="G14" s="1164">
        <f t="shared" si="5"/>
        <v>-5.9420000000000002</v>
      </c>
      <c r="H14" s="1164">
        <f t="shared" si="6"/>
        <v>-2.0210000000000004</v>
      </c>
      <c r="I14" s="1164">
        <f t="shared" si="7"/>
        <v>0</v>
      </c>
      <c r="J14" s="1164">
        <f t="shared" si="8"/>
        <v>-1.9E-2</v>
      </c>
      <c r="K14" s="1164">
        <f t="shared" si="9"/>
        <v>0.8</v>
      </c>
      <c r="L14" s="1168"/>
      <c r="M14" s="1164">
        <f t="shared" si="0"/>
        <v>-8.1189999999999998</v>
      </c>
      <c r="N14" s="1164">
        <f t="shared" si="10"/>
        <v>0</v>
      </c>
      <c r="O14" s="1191">
        <v>0.3</v>
      </c>
      <c r="P14" s="1185">
        <v>1.1800000000000002</v>
      </c>
      <c r="Q14" s="1184">
        <v>0</v>
      </c>
      <c r="R14" s="1193">
        <v>0.63300000000000001</v>
      </c>
      <c r="S14" s="1152">
        <v>0</v>
      </c>
      <c r="T14" s="908">
        <v>3.3000000000000002E-2</v>
      </c>
      <c r="U14" s="1184">
        <v>0</v>
      </c>
      <c r="V14" s="908">
        <v>0</v>
      </c>
      <c r="W14" s="755">
        <v>0</v>
      </c>
      <c r="X14" s="755">
        <v>0</v>
      </c>
      <c r="Y14" s="1184">
        <v>0</v>
      </c>
      <c r="Z14" s="1184">
        <v>0</v>
      </c>
      <c r="AA14" s="1184">
        <v>0</v>
      </c>
      <c r="AB14" s="1184">
        <v>0</v>
      </c>
      <c r="AC14" s="908">
        <v>0</v>
      </c>
      <c r="AD14" s="1193">
        <v>0</v>
      </c>
      <c r="AE14" s="1184">
        <v>0</v>
      </c>
      <c r="AF14" s="908">
        <v>0</v>
      </c>
      <c r="AG14" s="908">
        <v>-2.1110000000000002</v>
      </c>
      <c r="AH14" s="908">
        <v>0.09</v>
      </c>
      <c r="AI14" s="908">
        <v>0</v>
      </c>
      <c r="AJ14" s="1158">
        <v>0</v>
      </c>
      <c r="AK14" s="1184">
        <v>0</v>
      </c>
      <c r="AL14" s="1184">
        <v>-1.9E-2</v>
      </c>
      <c r="AM14" s="1184">
        <v>0</v>
      </c>
      <c r="AN14" s="1184">
        <v>0</v>
      </c>
      <c r="AO14" s="755">
        <v>0</v>
      </c>
      <c r="AP14" s="1184">
        <v>0</v>
      </c>
      <c r="AQ14" s="1195">
        <v>0</v>
      </c>
      <c r="AR14" s="1184">
        <v>0</v>
      </c>
      <c r="AS14" s="1184">
        <v>0</v>
      </c>
      <c r="AT14" s="755">
        <v>0.8</v>
      </c>
      <c r="AU14" s="908">
        <v>-5.4089999999999998</v>
      </c>
      <c r="AV14" s="1184">
        <v>0</v>
      </c>
      <c r="AW14" s="1184">
        <v>0</v>
      </c>
      <c r="AX14" s="1184">
        <v>0</v>
      </c>
      <c r="AY14" s="755">
        <v>-2.71</v>
      </c>
      <c r="AZ14" s="1184">
        <v>0</v>
      </c>
      <c r="BA14" s="755">
        <v>0</v>
      </c>
      <c r="BB14" s="1184">
        <v>0</v>
      </c>
      <c r="BC14" s="1184">
        <v>0</v>
      </c>
      <c r="BD14" s="1184">
        <v>0</v>
      </c>
      <c r="BE14" s="1184">
        <v>0</v>
      </c>
      <c r="BF14" s="755">
        <v>0</v>
      </c>
      <c r="BG14" s="755">
        <v>0</v>
      </c>
      <c r="BH14" s="908">
        <v>-5.8319999999999999</v>
      </c>
      <c r="BI14" s="1184">
        <v>-0.11</v>
      </c>
      <c r="BJ14" s="1174">
        <v>0.01</v>
      </c>
    </row>
    <row r="15" spans="1:62" ht="17.25" customHeight="1" x14ac:dyDescent="0.35">
      <c r="A15" s="1162">
        <v>2031</v>
      </c>
      <c r="B15" s="1164">
        <f t="shared" si="1"/>
        <v>0</v>
      </c>
      <c r="C15" s="1164">
        <f t="shared" si="2"/>
        <v>0</v>
      </c>
      <c r="D15" s="1164">
        <f t="shared" si="3"/>
        <v>0</v>
      </c>
      <c r="E15" s="1164">
        <f t="shared" si="4"/>
        <v>1.8230000000000002</v>
      </c>
      <c r="F15" s="1164">
        <f t="shared" si="11"/>
        <v>0</v>
      </c>
      <c r="G15" s="1164">
        <f t="shared" si="5"/>
        <v>-7.7250000000000005</v>
      </c>
      <c r="H15" s="1164">
        <f t="shared" si="6"/>
        <v>-2.4630000000000001</v>
      </c>
      <c r="I15" s="1164">
        <f t="shared" si="7"/>
        <v>0</v>
      </c>
      <c r="J15" s="1164">
        <f t="shared" si="8"/>
        <v>-1.9E-2</v>
      </c>
      <c r="K15" s="1164">
        <f t="shared" si="9"/>
        <v>0</v>
      </c>
      <c r="L15" s="1168"/>
      <c r="M15" s="1164">
        <f t="shared" si="0"/>
        <v>-3.0390000000000001</v>
      </c>
      <c r="N15" s="1164">
        <f t="shared" si="10"/>
        <v>0</v>
      </c>
      <c r="O15" s="1191">
        <v>0.3</v>
      </c>
      <c r="P15" s="1185">
        <v>1.1900000000000002</v>
      </c>
      <c r="Q15" s="1184">
        <v>0</v>
      </c>
      <c r="R15" s="1193">
        <v>0.63300000000000001</v>
      </c>
      <c r="S15" s="1152">
        <v>0</v>
      </c>
      <c r="T15" s="755">
        <v>0</v>
      </c>
      <c r="U15" s="1184">
        <v>0</v>
      </c>
      <c r="V15" s="1184">
        <v>0</v>
      </c>
      <c r="W15" s="755">
        <v>0</v>
      </c>
      <c r="X15" s="755">
        <v>0</v>
      </c>
      <c r="Y15" s="1184">
        <v>0</v>
      </c>
      <c r="Z15" s="1184">
        <v>0</v>
      </c>
      <c r="AA15" s="1184">
        <v>0</v>
      </c>
      <c r="AB15" s="1184">
        <v>0</v>
      </c>
      <c r="AC15" s="908">
        <v>0</v>
      </c>
      <c r="AD15" s="1184">
        <v>0</v>
      </c>
      <c r="AE15" s="908">
        <v>0</v>
      </c>
      <c r="AF15" s="908">
        <v>0</v>
      </c>
      <c r="AG15" s="908">
        <v>-2.5529999999999999</v>
      </c>
      <c r="AH15" s="908">
        <v>0.09</v>
      </c>
      <c r="AI15" s="908">
        <v>0</v>
      </c>
      <c r="AJ15" s="1159">
        <v>0</v>
      </c>
      <c r="AK15" s="1184">
        <v>0</v>
      </c>
      <c r="AL15" s="1184">
        <v>-1.9E-2</v>
      </c>
      <c r="AM15" s="1184">
        <v>0</v>
      </c>
      <c r="AN15" s="1184">
        <v>0</v>
      </c>
      <c r="AO15" s="755">
        <v>0</v>
      </c>
      <c r="AP15" s="1184">
        <v>0</v>
      </c>
      <c r="AQ15" s="1195">
        <v>0</v>
      </c>
      <c r="AR15" s="1184">
        <v>0</v>
      </c>
      <c r="AS15" s="1184">
        <v>0</v>
      </c>
      <c r="AT15" s="755">
        <v>0</v>
      </c>
      <c r="AU15" s="908">
        <v>-0.26900000000000002</v>
      </c>
      <c r="AV15" s="1184">
        <v>0</v>
      </c>
      <c r="AW15" s="1184">
        <v>0</v>
      </c>
      <c r="AX15" s="1184">
        <v>0</v>
      </c>
      <c r="AY15" s="755">
        <v>-2.77</v>
      </c>
      <c r="AZ15" s="1184">
        <v>0</v>
      </c>
      <c r="BA15" s="755">
        <v>0</v>
      </c>
      <c r="BB15" s="1184">
        <v>0</v>
      </c>
      <c r="BC15" s="1184">
        <v>0</v>
      </c>
      <c r="BD15" s="1184">
        <v>0</v>
      </c>
      <c r="BE15" s="1184">
        <v>0</v>
      </c>
      <c r="BF15" s="755">
        <v>0</v>
      </c>
      <c r="BG15" s="755">
        <v>0</v>
      </c>
      <c r="BH15" s="908">
        <v>-5.4350000000000005</v>
      </c>
      <c r="BI15" s="1184">
        <v>-2.29</v>
      </c>
      <c r="BJ15" s="1174">
        <v>0</v>
      </c>
    </row>
    <row r="16" spans="1:62" x14ac:dyDescent="0.35">
      <c r="A16" s="1163" t="s">
        <v>311</v>
      </c>
      <c r="B16" s="1163">
        <f>SUM(B5:B15)</f>
        <v>412.15299999999996</v>
      </c>
      <c r="C16" s="1163">
        <f>SUM(C5:C15)</f>
        <v>205.79999999999998</v>
      </c>
      <c r="D16" s="1163">
        <f>SUM(D5:D15)</f>
        <v>22.711000000000006</v>
      </c>
      <c r="E16" s="1163">
        <f t="shared" ref="E16:H16" si="12">SUM(E5:E15)</f>
        <v>35.466000000000015</v>
      </c>
      <c r="F16" s="1163">
        <f t="shared" si="12"/>
        <v>91.563000000000002</v>
      </c>
      <c r="G16" s="1164">
        <f t="shared" si="5"/>
        <v>174.17</v>
      </c>
      <c r="H16" s="1163">
        <f t="shared" si="12"/>
        <v>21.600999999999996</v>
      </c>
      <c r="I16" s="1168">
        <f t="shared" ref="I16" si="13">SUM(I5:I15)</f>
        <v>362.04999999999995</v>
      </c>
      <c r="J16" s="1168">
        <f t="shared" ref="J16" si="14">SUM(J5:J15)</f>
        <v>169.16899999999998</v>
      </c>
      <c r="K16" s="1164">
        <f t="shared" si="9"/>
        <v>112.72</v>
      </c>
      <c r="L16" s="1168">
        <f>SUM(L5:L15)</f>
        <v>25.75</v>
      </c>
      <c r="M16" s="1164">
        <f t="shared" si="0"/>
        <v>85.197999999999993</v>
      </c>
      <c r="N16" s="1164">
        <f>AK16</f>
        <v>8.5</v>
      </c>
      <c r="O16" s="1192">
        <f t="shared" ref="O16:BI16" si="15">SUM(O5:O15)</f>
        <v>109.3</v>
      </c>
      <c r="P16" s="1184">
        <f t="shared" si="15"/>
        <v>25.819999999999997</v>
      </c>
      <c r="Q16" s="1184">
        <f t="shared" si="15"/>
        <v>412.15299999999996</v>
      </c>
      <c r="R16" s="1184">
        <f t="shared" si="15"/>
        <v>5.774</v>
      </c>
      <c r="S16" s="1184">
        <f t="shared" si="15"/>
        <v>3.8719999999999999</v>
      </c>
      <c r="T16" s="1184">
        <f t="shared" si="15"/>
        <v>22.711000000000006</v>
      </c>
      <c r="U16" s="1184">
        <f t="shared" si="15"/>
        <v>41.599999999999994</v>
      </c>
      <c r="V16" s="1184">
        <f t="shared" si="15"/>
        <v>44.947999999999993</v>
      </c>
      <c r="W16" s="1184">
        <f t="shared" si="15"/>
        <v>5</v>
      </c>
      <c r="X16" s="1184">
        <f t="shared" si="15"/>
        <v>1.4440000000000002</v>
      </c>
      <c r="Y16" s="1184">
        <f t="shared" si="15"/>
        <v>0.2</v>
      </c>
      <c r="Z16" s="1184">
        <f t="shared" si="15"/>
        <v>45.4</v>
      </c>
      <c r="AA16" s="1184">
        <f t="shared" si="15"/>
        <v>35.5</v>
      </c>
      <c r="AB16" s="1184">
        <f t="shared" si="15"/>
        <v>124.7</v>
      </c>
      <c r="AC16" s="1184">
        <f t="shared" si="15"/>
        <v>28</v>
      </c>
      <c r="AD16" s="1184">
        <f t="shared" si="15"/>
        <v>9.100000000000022E-2</v>
      </c>
      <c r="AE16" s="1184">
        <f t="shared" si="15"/>
        <v>22.810000000000002</v>
      </c>
      <c r="AF16" s="1184">
        <f t="shared" si="15"/>
        <v>1.42</v>
      </c>
      <c r="AG16" s="1184">
        <f t="shared" si="15"/>
        <v>20.662999999999997</v>
      </c>
      <c r="AH16" s="1184">
        <f t="shared" si="15"/>
        <v>0.86999999999999988</v>
      </c>
      <c r="AI16" s="1184">
        <f t="shared" si="15"/>
        <v>6.8000000000000005E-2</v>
      </c>
      <c r="AJ16" s="1184">
        <f t="shared" si="15"/>
        <v>362.04999999999995</v>
      </c>
      <c r="AK16" s="1184">
        <f t="shared" ref="AK16:AO16" si="16">SUM(AK5:AK15)</f>
        <v>8.5</v>
      </c>
      <c r="AL16" s="1184">
        <f t="shared" si="16"/>
        <v>169.16899999999998</v>
      </c>
      <c r="AM16" s="1166">
        <f t="shared" si="16"/>
        <v>0.79700000000000004</v>
      </c>
      <c r="AN16" s="1184">
        <f t="shared" si="16"/>
        <v>8.6</v>
      </c>
      <c r="AO16" s="1184">
        <f t="shared" si="16"/>
        <v>3.2000000000000006</v>
      </c>
      <c r="AP16" s="1184">
        <f t="shared" si="15"/>
        <v>2.8000000000000003</v>
      </c>
      <c r="AQ16" s="1169">
        <f>SUM(AQ5:AQ15)</f>
        <v>28</v>
      </c>
      <c r="AR16" s="1184">
        <f>SUM(AR5:AR15)</f>
        <v>14.899999999999999</v>
      </c>
      <c r="AS16" s="1184">
        <f>SUM(AS5:AS15)</f>
        <v>3.8730000000000002</v>
      </c>
      <c r="AT16" s="1184">
        <f t="shared" ref="AT16" si="17">SUM(AT5:AT15)</f>
        <v>50.54999999999999</v>
      </c>
      <c r="AU16" s="1184">
        <f t="shared" si="15"/>
        <v>-5.6779999999999999</v>
      </c>
      <c r="AV16" s="1184">
        <f t="shared" si="15"/>
        <v>8.177999999999999</v>
      </c>
      <c r="AW16" s="1184">
        <f t="shared" si="15"/>
        <v>16.667999999999999</v>
      </c>
      <c r="AX16" s="1184">
        <f t="shared" si="15"/>
        <v>9.9</v>
      </c>
      <c r="AY16" s="1184">
        <f t="shared" si="15"/>
        <v>-25.860000000000003</v>
      </c>
      <c r="AZ16" s="1184">
        <f t="shared" si="15"/>
        <v>81.99</v>
      </c>
      <c r="BA16" s="1184">
        <v>0</v>
      </c>
      <c r="BB16" s="1184">
        <f t="shared" si="15"/>
        <v>24</v>
      </c>
      <c r="BC16" s="1184">
        <f t="shared" si="15"/>
        <v>7.25</v>
      </c>
      <c r="BD16" s="1184">
        <f t="shared" si="15"/>
        <v>49.8</v>
      </c>
      <c r="BE16" s="1184">
        <f t="shared" si="15"/>
        <v>9.02</v>
      </c>
      <c r="BF16" s="1184">
        <f t="shared" si="15"/>
        <v>6.2439999999999998</v>
      </c>
      <c r="BG16" s="1184">
        <f t="shared" si="15"/>
        <v>10.218</v>
      </c>
      <c r="BH16" s="1184">
        <f t="shared" si="15"/>
        <v>50.203999999999979</v>
      </c>
      <c r="BI16" s="1184">
        <f t="shared" si="15"/>
        <v>24.684000000000005</v>
      </c>
      <c r="BJ16" s="1176">
        <f>SUM(BJ5:BJ15)</f>
        <v>9.5399999999999991</v>
      </c>
    </row>
    <row r="17" spans="2:61" x14ac:dyDescent="0.35">
      <c r="R17" s="1193"/>
      <c r="S17" s="1193"/>
      <c r="W17" s="1193"/>
      <c r="X17" s="1193"/>
      <c r="AE17" s="1193"/>
      <c r="AF17" s="1193"/>
      <c r="AV17" s="1193"/>
      <c r="AW17" s="1193"/>
      <c r="AX17" s="1193"/>
      <c r="AY17" s="1193"/>
      <c r="AZ17" s="1193"/>
      <c r="BA17" s="1193"/>
      <c r="BC17" s="1193"/>
      <c r="BE17" s="1193"/>
      <c r="BF17" s="1193"/>
      <c r="BG17" s="1193"/>
    </row>
    <row r="18" spans="2:61" x14ac:dyDescent="0.35">
      <c r="R18" s="1193"/>
      <c r="S18" s="1193"/>
      <c r="W18" s="1193"/>
      <c r="X18" s="1193"/>
      <c r="AE18" s="1193"/>
      <c r="AF18" s="1193"/>
      <c r="AV18" s="1193"/>
      <c r="AW18" s="1193"/>
      <c r="AX18" s="1193"/>
      <c r="AY18" s="1193"/>
      <c r="AZ18" s="1193"/>
      <c r="BA18" s="1193"/>
      <c r="BC18" s="1193" t="s">
        <v>722</v>
      </c>
      <c r="BD18" s="1193" t="s">
        <v>722</v>
      </c>
      <c r="BE18" s="1193"/>
      <c r="BF18" s="1193" t="s">
        <v>722</v>
      </c>
      <c r="BG18" s="1193" t="s">
        <v>722</v>
      </c>
      <c r="BI18" s="1193" t="s">
        <v>722</v>
      </c>
    </row>
    <row r="19" spans="2:61" x14ac:dyDescent="0.35">
      <c r="B19" s="1196"/>
      <c r="C19" s="1196"/>
      <c r="D19" s="1196"/>
      <c r="E19" s="1196"/>
      <c r="F19" s="1196"/>
      <c r="H19" s="1196"/>
      <c r="I19" s="1196"/>
      <c r="J19" s="1196"/>
      <c r="K19" s="1196"/>
      <c r="M19" s="1196"/>
      <c r="N19" s="1196"/>
      <c r="R19" s="1193"/>
      <c r="S19" s="1193"/>
      <c r="W19" s="1193"/>
      <c r="X19" s="1193"/>
      <c r="AE19" s="1193"/>
      <c r="AF19" s="1193"/>
      <c r="AV19" s="1193"/>
      <c r="AW19" s="1193"/>
      <c r="AX19" s="1193"/>
      <c r="AY19" s="1193"/>
      <c r="AZ19" s="1193"/>
      <c r="BA19" s="1193"/>
      <c r="BC19" s="1193"/>
      <c r="BD19" t="s">
        <v>723</v>
      </c>
      <c r="BE19" s="1193"/>
      <c r="BF19" s="1193"/>
      <c r="BG19" s="1193"/>
    </row>
    <row r="20" spans="2:61" x14ac:dyDescent="0.35">
      <c r="R20" s="1193"/>
      <c r="S20" s="1193"/>
      <c r="W20" s="1193"/>
      <c r="X20" s="1193"/>
      <c r="AE20" s="1193"/>
      <c r="AF20" s="1193"/>
      <c r="AV20" s="1193"/>
      <c r="AW20" s="1193"/>
      <c r="AX20" s="1193"/>
      <c r="AY20" s="1193"/>
      <c r="AZ20" s="1193"/>
      <c r="BA20" s="1193"/>
      <c r="BC20" s="1193"/>
      <c r="BE20" s="1193"/>
      <c r="BF20" s="1193"/>
      <c r="BG20" s="1193"/>
    </row>
    <row r="21" spans="2:61" x14ac:dyDescent="0.35">
      <c r="R21" s="1193"/>
      <c r="S21" s="1193"/>
      <c r="W21" s="1193"/>
      <c r="X21" s="1193"/>
      <c r="AE21" s="1193"/>
      <c r="AF21" s="1193"/>
      <c r="AV21" s="1193"/>
      <c r="AW21" s="1193"/>
      <c r="AX21" s="1193"/>
      <c r="AY21" s="1193"/>
      <c r="AZ21" s="1193"/>
      <c r="BA21" s="1193"/>
      <c r="BC21" s="1193"/>
      <c r="BE21" s="1193"/>
      <c r="BF21" s="1193"/>
      <c r="BG21" s="1193"/>
    </row>
    <row r="22" spans="2:61" x14ac:dyDescent="0.35">
      <c r="B22" s="1196"/>
      <c r="R22" s="1193"/>
      <c r="S22" s="1193"/>
      <c r="W22" s="1193"/>
      <c r="X22" s="1193"/>
      <c r="AE22" s="1193"/>
      <c r="AF22" s="1193"/>
      <c r="AV22" s="1193"/>
      <c r="AW22" s="1193"/>
      <c r="AX22" s="1193"/>
      <c r="AY22" s="1193"/>
      <c r="AZ22" s="1193"/>
      <c r="BA22" s="1193"/>
      <c r="BC22" s="1193"/>
      <c r="BE22" s="1193"/>
      <c r="BF22" s="1193"/>
      <c r="BG22" s="1193"/>
    </row>
    <row r="23" spans="2:61" x14ac:dyDescent="0.35">
      <c r="B23" s="1196"/>
      <c r="R23" s="1193"/>
      <c r="S23" s="1193"/>
      <c r="W23" s="1193"/>
      <c r="X23" s="1193"/>
      <c r="AE23" s="1193"/>
      <c r="AF23" s="1193"/>
      <c r="AV23" s="1193"/>
      <c r="AW23" s="1193"/>
      <c r="AX23" s="1193"/>
      <c r="AY23" s="1193"/>
      <c r="AZ23" s="1193"/>
      <c r="BA23" s="1193"/>
      <c r="BC23" s="1193"/>
      <c r="BE23" s="1193"/>
      <c r="BF23" s="1193"/>
      <c r="BG23" s="1193"/>
    </row>
    <row r="24" spans="2:61" x14ac:dyDescent="0.35">
      <c r="B24" s="1196"/>
      <c r="R24" s="1193"/>
      <c r="S24" s="1193"/>
      <c r="W24" s="1193"/>
      <c r="X24" s="1193"/>
      <c r="AE24" s="1193"/>
      <c r="AF24" s="1193"/>
      <c r="AV24" s="1193"/>
      <c r="AW24" s="1193"/>
      <c r="AX24" s="1193"/>
      <c r="AY24" s="1193"/>
      <c r="AZ24" s="1193"/>
      <c r="BA24" s="1193"/>
      <c r="BC24" s="1193"/>
      <c r="BE24" s="1193"/>
      <c r="BF24" s="1193"/>
      <c r="BG24" s="1193"/>
    </row>
    <row r="25" spans="2:61" x14ac:dyDescent="0.35">
      <c r="B25" s="1196"/>
      <c r="R25" s="1193"/>
      <c r="S25" s="1193"/>
      <c r="W25" s="1193"/>
      <c r="X25" s="1193"/>
      <c r="AE25" s="1193"/>
      <c r="AF25" s="1193"/>
      <c r="AV25" s="1193"/>
      <c r="AW25" s="1193"/>
      <c r="AX25" s="1193"/>
      <c r="AY25" s="1193"/>
      <c r="AZ25" s="1193"/>
      <c r="BA25" s="1193"/>
      <c r="BC25" s="1193"/>
      <c r="BE25" s="1193"/>
      <c r="BF25" s="1193"/>
      <c r="BG25" s="1193"/>
    </row>
    <row r="26" spans="2:61" x14ac:dyDescent="0.35">
      <c r="B26" s="1196"/>
      <c r="R26" s="1193"/>
      <c r="S26" s="1193"/>
      <c r="W26" s="1193"/>
      <c r="X26" s="1193"/>
      <c r="AE26" s="1193"/>
      <c r="AF26" s="1193"/>
      <c r="AV26" s="1193"/>
      <c r="AW26" s="1193"/>
      <c r="AX26" s="1193"/>
      <c r="AY26" s="1193"/>
      <c r="AZ26" s="1193"/>
      <c r="BA26" s="1193"/>
      <c r="BC26" s="1193"/>
      <c r="BE26" s="1193"/>
      <c r="BF26" s="1193"/>
      <c r="BG26" s="1193"/>
    </row>
    <row r="27" spans="2:61" x14ac:dyDescent="0.35">
      <c r="B27" s="1196"/>
      <c r="R27" s="1193"/>
      <c r="S27" s="1193"/>
      <c r="W27" s="1193"/>
      <c r="X27" s="1193"/>
      <c r="AE27" s="1193"/>
      <c r="AF27" s="1193"/>
      <c r="AV27" s="1193"/>
      <c r="AW27" s="1193"/>
      <c r="AX27" s="1193"/>
      <c r="AY27" s="1193"/>
      <c r="AZ27" s="1193"/>
      <c r="BA27" s="1193"/>
      <c r="BC27" s="1193"/>
      <c r="BE27" s="1193"/>
      <c r="BF27" s="1193"/>
      <c r="BG27" s="1193"/>
    </row>
    <row r="28" spans="2:61" x14ac:dyDescent="0.35">
      <c r="B28" s="1196"/>
      <c r="R28" s="1193"/>
      <c r="S28" s="1193"/>
      <c r="W28" s="1193"/>
      <c r="X28" s="1193"/>
      <c r="AE28" s="1193"/>
      <c r="AF28" s="1193"/>
      <c r="AV28" s="1193"/>
      <c r="AW28" s="1193"/>
      <c r="AX28" s="1193"/>
      <c r="AY28" s="1193"/>
      <c r="AZ28" s="1193"/>
      <c r="BA28" s="1193"/>
      <c r="BC28" s="1193"/>
      <c r="BE28" s="1193"/>
      <c r="BF28" s="1193"/>
      <c r="BG28" s="1193"/>
    </row>
    <row r="29" spans="2:61" x14ac:dyDescent="0.35">
      <c r="R29" s="1193"/>
      <c r="S29" s="1193"/>
      <c r="W29" s="1193"/>
      <c r="X29" s="1193"/>
      <c r="AE29" s="1193"/>
      <c r="AF29" s="1193"/>
      <c r="AV29" s="1193"/>
      <c r="AW29" s="1193"/>
      <c r="AX29" s="1193"/>
      <c r="AY29" s="1193"/>
      <c r="AZ29" s="1193"/>
      <c r="BA29" s="1193"/>
      <c r="BC29" s="1193"/>
      <c r="BE29" s="1193"/>
      <c r="BF29" s="1193"/>
      <c r="BG29" s="1193"/>
    </row>
    <row r="30" spans="2:61" x14ac:dyDescent="0.35">
      <c r="R30" s="1193"/>
      <c r="S30" s="1193"/>
      <c r="W30" s="1193"/>
      <c r="X30" s="1193"/>
      <c r="AE30" s="1193"/>
      <c r="AF30" s="1193"/>
      <c r="AV30" s="1193"/>
      <c r="AW30" s="1193"/>
      <c r="AX30" s="1193"/>
      <c r="AY30" s="1193"/>
      <c r="AZ30" s="1193"/>
      <c r="BA30" s="1193"/>
      <c r="BC30" s="1193"/>
      <c r="BE30" s="1193"/>
      <c r="BF30" s="1193"/>
      <c r="BG30" s="1193"/>
    </row>
    <row r="31" spans="2:61" x14ac:dyDescent="0.35">
      <c r="R31" s="1193"/>
      <c r="S31" s="1193"/>
      <c r="W31" s="1193"/>
      <c r="X31" s="1193"/>
      <c r="AE31" s="1193"/>
      <c r="AF31" s="1193"/>
      <c r="AV31" s="1193"/>
      <c r="AW31" s="1193"/>
      <c r="AX31" s="1193"/>
      <c r="AY31" s="1193"/>
      <c r="AZ31" s="1193"/>
      <c r="BA31" s="1193"/>
      <c r="BC31" s="1193"/>
      <c r="BE31" s="1193"/>
      <c r="BF31" s="1193"/>
      <c r="BG31" s="1193"/>
    </row>
    <row r="32" spans="2:61" x14ac:dyDescent="0.35">
      <c r="R32" s="1193"/>
      <c r="S32" s="1193"/>
      <c r="W32" s="1193"/>
      <c r="X32" s="1193"/>
      <c r="AE32" s="1193"/>
      <c r="AF32" s="1193"/>
      <c r="AV32" s="1193"/>
      <c r="AW32" s="1193"/>
      <c r="AX32" s="1193"/>
      <c r="AY32" s="1193"/>
      <c r="AZ32" s="1193"/>
      <c r="BA32" s="1193"/>
      <c r="BC32" s="1193"/>
      <c r="BE32" s="1193"/>
      <c r="BF32" s="1193"/>
      <c r="BG32" s="1193"/>
    </row>
    <row r="33" spans="18:59" x14ac:dyDescent="0.35">
      <c r="R33" s="1193"/>
      <c r="S33" s="1193"/>
      <c r="W33" s="1193"/>
      <c r="X33" s="1193"/>
      <c r="AE33" s="1193"/>
      <c r="AF33" s="1193"/>
      <c r="AV33" s="1193"/>
      <c r="AW33" s="1193"/>
      <c r="AX33" s="1193"/>
      <c r="AY33" s="1193"/>
      <c r="AZ33" s="1193"/>
      <c r="BA33" s="1193"/>
      <c r="BC33" s="1193"/>
      <c r="BE33" s="1193"/>
      <c r="BF33" s="1193"/>
      <c r="BG33" s="1193"/>
    </row>
    <row r="34" spans="18:59" x14ac:dyDescent="0.35">
      <c r="R34" s="1193"/>
      <c r="S34" s="1193"/>
      <c r="W34" s="1193"/>
      <c r="X34" s="1193"/>
      <c r="AE34" s="1193"/>
      <c r="AF34" s="1193"/>
      <c r="AV34" s="1193"/>
      <c r="AW34" s="1193"/>
      <c r="AX34" s="1193"/>
      <c r="AY34" s="1193"/>
      <c r="AZ34" s="1193"/>
      <c r="BA34" s="1193"/>
      <c r="BC34" s="1193"/>
      <c r="BE34" s="1193"/>
      <c r="BF34" s="1193"/>
      <c r="BG34" s="1193"/>
    </row>
    <row r="35" spans="18:59" x14ac:dyDescent="0.35">
      <c r="R35" s="1193"/>
      <c r="S35" s="1193"/>
      <c r="W35" s="1193"/>
      <c r="X35" s="1193"/>
      <c r="AE35" s="1193"/>
      <c r="AF35" s="1193"/>
      <c r="AV35" s="1193"/>
      <c r="AW35" s="1193"/>
      <c r="AX35" s="1193"/>
      <c r="AY35" s="1193"/>
      <c r="AZ35" s="1193"/>
      <c r="BA35" s="1193"/>
      <c r="BC35" s="1193"/>
      <c r="BE35" s="1193"/>
      <c r="BF35" s="1193"/>
      <c r="BG35" s="1193"/>
    </row>
    <row r="36" spans="18:59" x14ac:dyDescent="0.35">
      <c r="R36" s="1193"/>
      <c r="S36" s="1193"/>
      <c r="W36" s="1193"/>
      <c r="X36" s="1193"/>
      <c r="AE36" s="1193"/>
      <c r="AF36" s="1193"/>
      <c r="AV36" s="1193"/>
      <c r="AW36" s="1193"/>
      <c r="AX36" s="1193"/>
      <c r="AY36" s="1193"/>
      <c r="AZ36" s="1193"/>
      <c r="BA36" s="1193"/>
      <c r="BC36" s="1193"/>
      <c r="BE36" s="1193"/>
      <c r="BF36" s="1193"/>
      <c r="BG36" s="1193"/>
    </row>
    <row r="37" spans="18:59" x14ac:dyDescent="0.35">
      <c r="R37" s="1193"/>
      <c r="S37" s="1193"/>
      <c r="W37" s="1193"/>
      <c r="X37" s="1193"/>
      <c r="AE37" s="1193"/>
      <c r="AF37" s="1193"/>
      <c r="AV37" s="1193"/>
      <c r="AW37" s="1193"/>
      <c r="AX37" s="1193"/>
      <c r="AY37" s="1193"/>
      <c r="AZ37" s="1193"/>
      <c r="BA37" s="1193"/>
      <c r="BC37" s="1193"/>
      <c r="BE37" s="1193"/>
      <c r="BF37" s="1193"/>
      <c r="BG37" s="1193"/>
    </row>
    <row r="38" spans="18:59" x14ac:dyDescent="0.35">
      <c r="R38" s="1193"/>
      <c r="S38" s="1193"/>
      <c r="W38" s="1193"/>
      <c r="X38" s="1193"/>
      <c r="AE38" s="1193"/>
      <c r="AF38" s="1193"/>
      <c r="AV38" s="1193"/>
      <c r="AW38" s="1193"/>
      <c r="AX38" s="1193"/>
      <c r="AY38" s="1193"/>
      <c r="AZ38" s="1193"/>
      <c r="BA38" s="1193"/>
      <c r="BC38" s="1193"/>
      <c r="BE38" s="1193"/>
      <c r="BF38" s="1193"/>
      <c r="BG38" s="1193"/>
    </row>
    <row r="39" spans="18:59" x14ac:dyDescent="0.35">
      <c r="R39" s="1193"/>
      <c r="S39" s="1193"/>
      <c r="W39" s="1193"/>
      <c r="X39" s="1193"/>
      <c r="AE39" s="1193"/>
      <c r="AF39" s="1193"/>
      <c r="AV39" s="1193"/>
      <c r="AW39" s="1193"/>
      <c r="AX39" s="1193"/>
      <c r="AY39" s="1193"/>
      <c r="AZ39" s="1193"/>
      <c r="BA39" s="1193"/>
      <c r="BC39" s="1193"/>
      <c r="BE39" s="1193"/>
      <c r="BF39" s="1193"/>
      <c r="BG39" s="1193"/>
    </row>
    <row r="40" spans="18:59" x14ac:dyDescent="0.35">
      <c r="R40" s="1193"/>
      <c r="S40" s="1193"/>
      <c r="W40" s="1193"/>
      <c r="X40" s="1193"/>
      <c r="AE40" s="1193"/>
      <c r="AF40" s="1193"/>
      <c r="AV40" s="1193"/>
      <c r="AW40" s="1193"/>
      <c r="AX40" s="1193"/>
      <c r="AY40" s="1193"/>
      <c r="AZ40" s="1193"/>
      <c r="BA40" s="1193"/>
      <c r="BC40" s="1193"/>
      <c r="BE40" s="1193"/>
      <c r="BF40" s="1193"/>
      <c r="BG40" s="1193"/>
    </row>
    <row r="41" spans="18:59" x14ac:dyDescent="0.35">
      <c r="R41" s="1193"/>
      <c r="S41" s="1193"/>
      <c r="W41" s="1193"/>
      <c r="X41" s="1193"/>
      <c r="AE41" s="1193"/>
      <c r="AF41" s="1193"/>
      <c r="AV41" s="1193"/>
      <c r="AW41" s="1193"/>
      <c r="AX41" s="1193"/>
      <c r="AY41" s="1193"/>
      <c r="AZ41" s="1193"/>
      <c r="BA41" s="1193"/>
      <c r="BC41" s="1193"/>
      <c r="BE41" s="1193"/>
      <c r="BF41" s="1193"/>
      <c r="BG41" s="1193"/>
    </row>
    <row r="42" spans="18:59" x14ac:dyDescent="0.35">
      <c r="R42" s="1193"/>
      <c r="S42" s="1193"/>
      <c r="W42" s="1193"/>
      <c r="X42" s="1193"/>
      <c r="AE42" s="1193"/>
      <c r="AF42" s="1193"/>
      <c r="AV42" s="1193"/>
      <c r="AW42" s="1193"/>
      <c r="AX42" s="1193"/>
      <c r="AY42" s="1193"/>
      <c r="AZ42" s="1193"/>
      <c r="BA42" s="1193"/>
      <c r="BC42" s="1193"/>
      <c r="BE42" s="1193"/>
      <c r="BF42" s="1193"/>
      <c r="BG42" s="1193"/>
    </row>
    <row r="43" spans="18:59" x14ac:dyDescent="0.35">
      <c r="R43" s="1193"/>
      <c r="S43" s="1193"/>
      <c r="W43" s="1193"/>
      <c r="X43" s="1193"/>
      <c r="AE43" s="1193"/>
      <c r="AF43" s="1193"/>
      <c r="AV43" s="1193"/>
      <c r="AW43" s="1193"/>
      <c r="AX43" s="1193"/>
      <c r="AY43" s="1193"/>
      <c r="AZ43" s="1193"/>
      <c r="BA43" s="1193"/>
      <c r="BC43" s="1193"/>
      <c r="BE43" s="1193"/>
      <c r="BF43" s="1193"/>
      <c r="BG43" s="1193"/>
    </row>
    <row r="44" spans="18:59" x14ac:dyDescent="0.35">
      <c r="R44" s="1193"/>
      <c r="S44" s="1193"/>
      <c r="W44" s="1193"/>
      <c r="X44" s="1193"/>
      <c r="AE44" s="1193"/>
      <c r="AF44" s="1193"/>
      <c r="AV44" s="1193"/>
      <c r="AW44" s="1193"/>
      <c r="AX44" s="1193"/>
      <c r="AY44" s="1193"/>
      <c r="AZ44" s="1193"/>
      <c r="BA44" s="1193"/>
      <c r="BC44" s="1193"/>
      <c r="BE44" s="1193"/>
      <c r="BF44" s="1193"/>
      <c r="BG44" s="1193"/>
    </row>
    <row r="45" spans="18:59" x14ac:dyDescent="0.35">
      <c r="R45" s="1193"/>
      <c r="S45" s="1193"/>
      <c r="W45" s="1193"/>
      <c r="X45" s="1193"/>
      <c r="AE45" s="1193"/>
      <c r="AF45" s="1193"/>
      <c r="AV45" s="1193"/>
      <c r="AW45" s="1193"/>
      <c r="AX45" s="1193"/>
      <c r="AY45" s="1193"/>
      <c r="AZ45" s="1193"/>
      <c r="BA45" s="1193"/>
      <c r="BC45" s="1193"/>
      <c r="BE45" s="1193"/>
      <c r="BF45" s="1193"/>
      <c r="BG45" s="1193"/>
    </row>
    <row r="46" spans="18:59" x14ac:dyDescent="0.35">
      <c r="R46" s="1193"/>
      <c r="S46" s="1193"/>
      <c r="W46" s="1193"/>
      <c r="X46" s="1193"/>
      <c r="AE46" s="1193"/>
      <c r="AF46" s="1193"/>
      <c r="AV46" s="1193"/>
      <c r="AW46" s="1193"/>
      <c r="AX46" s="1193"/>
      <c r="AY46" s="1193"/>
      <c r="AZ46" s="1193"/>
      <c r="BA46" s="1193"/>
      <c r="BC46" s="1193"/>
      <c r="BE46" s="1193"/>
      <c r="BF46" s="1193"/>
      <c r="BG46" s="1193"/>
    </row>
    <row r="47" spans="18:59" x14ac:dyDescent="0.35">
      <c r="R47" s="1193"/>
      <c r="S47" s="1193"/>
      <c r="W47" s="1193"/>
      <c r="X47" s="1193"/>
      <c r="AE47" s="1193"/>
      <c r="AF47" s="1193"/>
      <c r="AV47" s="1193"/>
      <c r="AW47" s="1193"/>
      <c r="AX47" s="1193"/>
      <c r="AY47" s="1193"/>
      <c r="AZ47" s="1193"/>
      <c r="BA47" s="1193"/>
      <c r="BC47" s="1193"/>
      <c r="BE47" s="1193"/>
      <c r="BF47" s="1193"/>
      <c r="BG47" s="1193"/>
    </row>
    <row r="48" spans="18:59" x14ac:dyDescent="0.35">
      <c r="R48" s="1193"/>
      <c r="S48" s="1193"/>
      <c r="W48" s="1193"/>
      <c r="X48" s="1193"/>
      <c r="AE48" s="1193"/>
      <c r="AF48" s="1193"/>
      <c r="AV48" s="1193"/>
      <c r="AW48" s="1193"/>
      <c r="AX48" s="1193"/>
      <c r="AY48" s="1193"/>
      <c r="AZ48" s="1193"/>
      <c r="BA48" s="1193"/>
      <c r="BC48" s="1193"/>
      <c r="BE48" s="1193"/>
      <c r="BF48" s="1193"/>
      <c r="BG48" s="1193"/>
    </row>
    <row r="49" spans="18:59" x14ac:dyDescent="0.35">
      <c r="R49" s="1193"/>
      <c r="S49" s="1193"/>
      <c r="W49" s="1193"/>
      <c r="X49" s="1193"/>
      <c r="AE49" s="1193"/>
      <c r="AF49" s="1193"/>
      <c r="AV49" s="1193"/>
      <c r="AW49" s="1193"/>
      <c r="AX49" s="1193"/>
      <c r="AY49" s="1193"/>
      <c r="AZ49" s="1193"/>
      <c r="BA49" s="1193"/>
      <c r="BC49" s="1193"/>
      <c r="BE49" s="1193"/>
      <c r="BF49" s="1193"/>
      <c r="BG49" s="1193"/>
    </row>
    <row r="50" spans="18:59" x14ac:dyDescent="0.35">
      <c r="R50" s="1193"/>
      <c r="S50" s="1193"/>
      <c r="W50" s="1193"/>
      <c r="X50" s="1193"/>
      <c r="AE50" s="1193"/>
      <c r="AF50" s="1193"/>
      <c r="AV50" s="1193"/>
      <c r="AW50" s="1193"/>
      <c r="AX50" s="1193"/>
      <c r="AY50" s="1193"/>
      <c r="AZ50" s="1193"/>
      <c r="BA50" s="1193"/>
      <c r="BC50" s="1193"/>
      <c r="BE50" s="1193"/>
      <c r="BF50" s="1193"/>
      <c r="BG50" s="1193"/>
    </row>
    <row r="51" spans="18:59" x14ac:dyDescent="0.35">
      <c r="R51" s="1193"/>
      <c r="S51" s="1193"/>
      <c r="W51" s="1193"/>
      <c r="X51" s="1193"/>
      <c r="AE51" s="1193"/>
      <c r="AF51" s="1193"/>
      <c r="AV51" s="1193"/>
      <c r="AW51" s="1193"/>
      <c r="AX51" s="1193"/>
      <c r="AY51" s="1193"/>
      <c r="AZ51" s="1193"/>
      <c r="BA51" s="1193"/>
      <c r="BC51" s="1193"/>
      <c r="BE51" s="1193"/>
      <c r="BF51" s="1193"/>
      <c r="BG51" s="1193"/>
    </row>
    <row r="52" spans="18:59" x14ac:dyDescent="0.35">
      <c r="R52" s="1193"/>
      <c r="S52" s="1193"/>
      <c r="W52" s="1193"/>
      <c r="X52" s="1193"/>
      <c r="AE52" s="1193"/>
      <c r="AF52" s="1193"/>
      <c r="AV52" s="1193"/>
      <c r="AW52" s="1193"/>
      <c r="AX52" s="1193"/>
      <c r="AY52" s="1193"/>
      <c r="AZ52" s="1193"/>
      <c r="BA52" s="1193"/>
      <c r="BC52" s="1193"/>
      <c r="BE52" s="1193"/>
      <c r="BF52" s="1193"/>
      <c r="BG52" s="1193"/>
    </row>
    <row r="53" spans="18:59" x14ac:dyDescent="0.35">
      <c r="R53" s="1193"/>
      <c r="S53" s="1193"/>
      <c r="W53" s="1193"/>
      <c r="X53" s="1193"/>
      <c r="AE53" s="1193"/>
      <c r="AF53" s="1193"/>
      <c r="AV53" s="1193"/>
      <c r="AW53" s="1193"/>
      <c r="AX53" s="1193"/>
      <c r="AY53" s="1193"/>
      <c r="AZ53" s="1193"/>
      <c r="BA53" s="1193"/>
      <c r="BC53" s="1193"/>
      <c r="BE53" s="1193"/>
      <c r="BF53" s="1193"/>
      <c r="BG53" s="1193"/>
    </row>
    <row r="54" spans="18:59" x14ac:dyDescent="0.35">
      <c r="R54" s="1193"/>
      <c r="S54" s="1193"/>
      <c r="W54" s="1193"/>
      <c r="X54" s="1193"/>
      <c r="AE54" s="1193"/>
      <c r="AF54" s="1193"/>
      <c r="AV54" s="1193"/>
      <c r="AW54" s="1193"/>
      <c r="AX54" s="1193"/>
      <c r="AY54" s="1193"/>
      <c r="AZ54" s="1193"/>
      <c r="BA54" s="1193"/>
      <c r="BC54" s="1193"/>
      <c r="BE54" s="1193"/>
      <c r="BF54" s="1193"/>
      <c r="BG54" s="1193"/>
    </row>
    <row r="55" spans="18:59" x14ac:dyDescent="0.35">
      <c r="R55" s="1193"/>
      <c r="S55" s="1193"/>
      <c r="W55" s="1193"/>
      <c r="X55" s="1193"/>
      <c r="AE55" s="1193"/>
      <c r="AF55" s="1193"/>
      <c r="AV55" s="1193"/>
      <c r="AW55" s="1193"/>
      <c r="AX55" s="1193"/>
      <c r="AY55" s="1193"/>
      <c r="AZ55" s="1193"/>
      <c r="BA55" s="1193"/>
      <c r="BC55" s="1193"/>
      <c r="BE55" s="1193"/>
      <c r="BF55" s="1193"/>
      <c r="BG55" s="1193"/>
    </row>
    <row r="56" spans="18:59" x14ac:dyDescent="0.35">
      <c r="R56" s="1193"/>
      <c r="S56" s="1193"/>
      <c r="W56" s="1193"/>
      <c r="X56" s="1193"/>
      <c r="AE56" s="1193"/>
      <c r="AF56" s="1193"/>
      <c r="AV56" s="1193"/>
      <c r="AW56" s="1193"/>
      <c r="AX56" s="1193"/>
      <c r="AY56" s="1193"/>
      <c r="AZ56" s="1193"/>
      <c r="BA56" s="1193"/>
      <c r="BC56" s="1193"/>
      <c r="BE56" s="1193"/>
      <c r="BF56" s="1193"/>
      <c r="BG56" s="1193"/>
    </row>
    <row r="57" spans="18:59" x14ac:dyDescent="0.35">
      <c r="R57" s="1193"/>
      <c r="S57" s="1193"/>
      <c r="W57" s="1193"/>
      <c r="X57" s="1193"/>
      <c r="AE57" s="1193"/>
      <c r="AF57" s="1193"/>
      <c r="AV57" s="1193"/>
      <c r="AW57" s="1193"/>
      <c r="AX57" s="1193"/>
      <c r="AY57" s="1193"/>
      <c r="AZ57" s="1193"/>
      <c r="BA57" s="1193"/>
      <c r="BC57" s="1193"/>
      <c r="BE57" s="1193"/>
      <c r="BF57" s="1193"/>
      <c r="BG57" s="1193"/>
    </row>
    <row r="58" spans="18:59" x14ac:dyDescent="0.35">
      <c r="R58" s="1193"/>
      <c r="S58" s="1193"/>
      <c r="W58" s="1193"/>
      <c r="X58" s="1193"/>
      <c r="AE58" s="1193"/>
      <c r="AF58" s="1193"/>
      <c r="AV58" s="1193"/>
      <c r="AW58" s="1193"/>
      <c r="AX58" s="1193"/>
      <c r="AY58" s="1193"/>
      <c r="AZ58" s="1193"/>
      <c r="BA58" s="1193"/>
      <c r="BC58" s="1193"/>
      <c r="BE58" s="1193"/>
      <c r="BF58" s="1193"/>
      <c r="BG58" s="1193"/>
    </row>
    <row r="59" spans="18:59" x14ac:dyDescent="0.35">
      <c r="R59" s="1193"/>
      <c r="S59" s="1193"/>
      <c r="W59" s="1193"/>
      <c r="X59" s="1193"/>
      <c r="AE59" s="1193"/>
      <c r="AF59" s="1193"/>
      <c r="AV59" s="1193"/>
      <c r="AW59" s="1193"/>
      <c r="AX59" s="1193"/>
      <c r="AY59" s="1193"/>
      <c r="AZ59" s="1193"/>
      <c r="BA59" s="1193"/>
      <c r="BC59" s="1193"/>
      <c r="BE59" s="1193"/>
      <c r="BF59" s="1193"/>
      <c r="BG59" s="1193"/>
    </row>
    <row r="60" spans="18:59" x14ac:dyDescent="0.35">
      <c r="R60" s="1193"/>
      <c r="S60" s="1193"/>
      <c r="W60" s="1193"/>
      <c r="X60" s="1193"/>
      <c r="AE60" s="1193"/>
      <c r="AF60" s="1193"/>
      <c r="AV60" s="1193"/>
      <c r="AW60" s="1193"/>
      <c r="AX60" s="1193"/>
      <c r="AY60" s="1193"/>
      <c r="AZ60" s="1193"/>
      <c r="BA60" s="1193"/>
      <c r="BC60" s="1193"/>
      <c r="BE60" s="1193"/>
      <c r="BF60" s="1193"/>
      <c r="BG60" s="1193"/>
    </row>
    <row r="61" spans="18:59" x14ac:dyDescent="0.35">
      <c r="R61" s="1193"/>
      <c r="S61" s="1193"/>
      <c r="W61" s="1193"/>
      <c r="X61" s="1193"/>
      <c r="AE61" s="1193"/>
      <c r="AF61" s="1193"/>
      <c r="AV61" s="1193"/>
      <c r="AW61" s="1193"/>
      <c r="AX61" s="1193"/>
      <c r="AY61" s="1193"/>
      <c r="AZ61" s="1193"/>
      <c r="BA61" s="1193"/>
      <c r="BC61" s="1193"/>
      <c r="BE61" s="1193"/>
      <c r="BF61" s="1193"/>
      <c r="BG61" s="1193"/>
    </row>
    <row r="62" spans="18:59" x14ac:dyDescent="0.35">
      <c r="R62" s="1193"/>
      <c r="S62" s="1193"/>
      <c r="W62" s="1193"/>
      <c r="X62" s="1193"/>
      <c r="AE62" s="1193"/>
      <c r="AF62" s="1193"/>
      <c r="AV62" s="1193"/>
      <c r="AW62" s="1193"/>
      <c r="AX62" s="1193"/>
      <c r="AY62" s="1193"/>
      <c r="AZ62" s="1193"/>
      <c r="BA62" s="1193"/>
      <c r="BC62" s="1193"/>
      <c r="BE62" s="1193"/>
      <c r="BF62" s="1193"/>
      <c r="BG62" s="1193"/>
    </row>
    <row r="63" spans="18:59" x14ac:dyDescent="0.35">
      <c r="R63" s="1193"/>
      <c r="S63" s="1193"/>
      <c r="W63" s="1193"/>
      <c r="X63" s="1193"/>
      <c r="AE63" s="1193"/>
      <c r="AF63" s="1193"/>
      <c r="AV63" s="1193"/>
      <c r="AW63" s="1193"/>
      <c r="AX63" s="1193"/>
      <c r="AY63" s="1193"/>
      <c r="AZ63" s="1193"/>
      <c r="BA63" s="1193"/>
      <c r="BC63" s="1193"/>
      <c r="BE63" s="1193"/>
      <c r="BF63" s="1193"/>
      <c r="BG63" s="1193"/>
    </row>
    <row r="64" spans="18:59" x14ac:dyDescent="0.35">
      <c r="R64" s="1193"/>
      <c r="S64" s="1193"/>
      <c r="W64" s="1193"/>
      <c r="X64" s="1193"/>
      <c r="AE64" s="1193"/>
      <c r="AF64" s="1193"/>
      <c r="AV64" s="1193"/>
      <c r="AW64" s="1193"/>
      <c r="AX64" s="1193"/>
      <c r="AY64" s="1193"/>
      <c r="AZ64" s="1193"/>
      <c r="BA64" s="1193"/>
      <c r="BC64" s="1193"/>
      <c r="BE64" s="1193"/>
      <c r="BF64" s="1193"/>
      <c r="BG64" s="1193"/>
    </row>
    <row r="65" spans="18:59" x14ac:dyDescent="0.35">
      <c r="R65" s="1193"/>
      <c r="S65" s="1193"/>
      <c r="W65" s="1193"/>
      <c r="X65" s="1193"/>
      <c r="AE65" s="1193"/>
      <c r="AF65" s="1193"/>
      <c r="AV65" s="1193"/>
      <c r="AW65" s="1193"/>
      <c r="AX65" s="1193"/>
      <c r="AY65" s="1193"/>
      <c r="AZ65" s="1193"/>
      <c r="BA65" s="1193"/>
      <c r="BC65" s="1193"/>
      <c r="BE65" s="1193"/>
      <c r="BF65" s="1193"/>
      <c r="BG65" s="1193"/>
    </row>
    <row r="66" spans="18:59" x14ac:dyDescent="0.35">
      <c r="R66" s="1193"/>
      <c r="S66" s="1193"/>
      <c r="W66" s="1193"/>
      <c r="X66" s="1193"/>
      <c r="AE66" s="1193"/>
      <c r="AF66" s="1193"/>
      <c r="AV66" s="1193"/>
      <c r="AW66" s="1193"/>
      <c r="AX66" s="1193"/>
      <c r="AY66" s="1193"/>
      <c r="AZ66" s="1193"/>
      <c r="BA66" s="1193"/>
      <c r="BC66" s="1193"/>
      <c r="BE66" s="1193"/>
      <c r="BF66" s="1193"/>
      <c r="BG66" s="1193"/>
    </row>
    <row r="67" spans="18:59" x14ac:dyDescent="0.35">
      <c r="R67" s="1193"/>
      <c r="S67" s="1193"/>
      <c r="W67" s="1193"/>
      <c r="X67" s="1193"/>
      <c r="AE67" s="1193"/>
      <c r="AF67" s="1193"/>
      <c r="AV67" s="1193"/>
      <c r="AW67" s="1193"/>
      <c r="AX67" s="1193"/>
      <c r="AY67" s="1193"/>
      <c r="AZ67" s="1193"/>
      <c r="BA67" s="1193"/>
      <c r="BC67" s="1193"/>
      <c r="BE67" s="1193"/>
      <c r="BF67" s="1193"/>
      <c r="BG67" s="1193"/>
    </row>
    <row r="68" spans="18:59" x14ac:dyDescent="0.35">
      <c r="R68" s="1193"/>
      <c r="S68" s="1193"/>
      <c r="W68" s="1193"/>
      <c r="X68" s="1193"/>
      <c r="AE68" s="1193"/>
      <c r="AF68" s="1193"/>
      <c r="AV68" s="1193"/>
      <c r="AW68" s="1193"/>
      <c r="AX68" s="1193"/>
      <c r="AY68" s="1193"/>
      <c r="AZ68" s="1193"/>
      <c r="BA68" s="1193"/>
      <c r="BC68" s="1193"/>
      <c r="BE68" s="1193"/>
      <c r="BF68" s="1193"/>
      <c r="BG68" s="1193"/>
    </row>
    <row r="69" spans="18:59" x14ac:dyDescent="0.35">
      <c r="R69" s="1193"/>
      <c r="S69" s="1193"/>
      <c r="W69" s="1193"/>
      <c r="X69" s="1193"/>
      <c r="AE69" s="1193"/>
      <c r="AF69" s="1193"/>
      <c r="AV69" s="1193"/>
      <c r="AW69" s="1193"/>
      <c r="AX69" s="1193"/>
      <c r="AY69" s="1193"/>
      <c r="AZ69" s="1193"/>
      <c r="BA69" s="1193"/>
      <c r="BC69" s="1193"/>
      <c r="BE69" s="1193"/>
      <c r="BF69" s="1193"/>
      <c r="BG69" s="1193"/>
    </row>
    <row r="70" spans="18:59" x14ac:dyDescent="0.35">
      <c r="R70" s="1193"/>
      <c r="S70" s="1193"/>
      <c r="W70" s="1193"/>
      <c r="X70" s="1193"/>
      <c r="AE70" s="1193"/>
      <c r="AF70" s="1193"/>
      <c r="AV70" s="1193"/>
      <c r="AW70" s="1193"/>
      <c r="AX70" s="1193"/>
      <c r="AY70" s="1193"/>
      <c r="AZ70" s="1193"/>
      <c r="BA70" s="1193"/>
      <c r="BC70" s="1193"/>
      <c r="BE70" s="1193"/>
      <c r="BF70" s="1193"/>
      <c r="BG70" s="1193"/>
    </row>
    <row r="71" spans="18:59" x14ac:dyDescent="0.35">
      <c r="R71" s="1193"/>
      <c r="S71" s="1193"/>
      <c r="W71" s="1193"/>
      <c r="X71" s="1193"/>
      <c r="AE71" s="1193"/>
      <c r="AF71" s="1193"/>
      <c r="AV71" s="1193"/>
      <c r="AW71" s="1193"/>
      <c r="AX71" s="1193"/>
      <c r="AY71" s="1193"/>
      <c r="AZ71" s="1193"/>
      <c r="BA71" s="1193"/>
      <c r="BC71" s="1193"/>
      <c r="BE71" s="1193"/>
      <c r="BF71" s="1193"/>
      <c r="BG71" s="1193"/>
    </row>
    <row r="72" spans="18:59" x14ac:dyDescent="0.35">
      <c r="R72" s="1193"/>
      <c r="S72" s="1193"/>
      <c r="W72" s="1193"/>
      <c r="X72" s="1193"/>
      <c r="AE72" s="1193"/>
      <c r="AF72" s="1193"/>
      <c r="AV72" s="1193"/>
      <c r="AW72" s="1193"/>
      <c r="AX72" s="1193"/>
      <c r="AY72" s="1193"/>
      <c r="AZ72" s="1193"/>
      <c r="BA72" s="1193"/>
      <c r="BC72" s="1193"/>
      <c r="BE72" s="1193"/>
      <c r="BF72" s="1193"/>
      <c r="BG72" s="1193"/>
    </row>
    <row r="73" spans="18:59" x14ac:dyDescent="0.35">
      <c r="R73" s="1193"/>
      <c r="S73" s="1193"/>
      <c r="W73" s="1193"/>
      <c r="X73" s="1193"/>
      <c r="AE73" s="1193"/>
      <c r="AF73" s="1193"/>
      <c r="AV73" s="1193"/>
      <c r="AW73" s="1193"/>
      <c r="AX73" s="1193"/>
      <c r="AY73" s="1193"/>
      <c r="AZ73" s="1193"/>
      <c r="BA73" s="1193"/>
      <c r="BC73" s="1193"/>
      <c r="BE73" s="1193"/>
      <c r="BF73" s="1193"/>
      <c r="BG73" s="1193"/>
    </row>
    <row r="74" spans="18:59" x14ac:dyDescent="0.35">
      <c r="R74" s="1193"/>
      <c r="S74" s="1193"/>
      <c r="W74" s="1193"/>
      <c r="X74" s="1193"/>
      <c r="AE74" s="1193"/>
      <c r="AF74" s="1193"/>
      <c r="AV74" s="1193"/>
      <c r="AW74" s="1193"/>
      <c r="AX74" s="1193"/>
      <c r="AY74" s="1193"/>
      <c r="AZ74" s="1193"/>
      <c r="BA74" s="1193"/>
      <c r="BC74" s="1193"/>
      <c r="BE74" s="1193"/>
      <c r="BF74" s="1193"/>
      <c r="BG74" s="1193"/>
    </row>
    <row r="75" spans="18:59" x14ac:dyDescent="0.35">
      <c r="R75" s="1193"/>
      <c r="S75" s="1193"/>
      <c r="W75" s="1193"/>
      <c r="X75" s="1193"/>
      <c r="AE75" s="1193"/>
      <c r="AF75" s="1193"/>
      <c r="AV75" s="1193"/>
      <c r="AW75" s="1193"/>
      <c r="AX75" s="1193"/>
      <c r="AY75" s="1193"/>
      <c r="AZ75" s="1193"/>
      <c r="BA75" s="1193"/>
      <c r="BC75" s="1193"/>
      <c r="BE75" s="1193"/>
      <c r="BF75" s="1193"/>
      <c r="BG75" s="1193"/>
    </row>
    <row r="76" spans="18:59" x14ac:dyDescent="0.35">
      <c r="R76" s="1193"/>
      <c r="S76" s="1193"/>
      <c r="W76" s="1193"/>
      <c r="X76" s="1193"/>
      <c r="AE76" s="1193"/>
      <c r="AF76" s="1193"/>
      <c r="AV76" s="1193"/>
      <c r="AW76" s="1193"/>
      <c r="AX76" s="1193"/>
      <c r="AY76" s="1193"/>
      <c r="AZ76" s="1193"/>
      <c r="BA76" s="1193"/>
      <c r="BC76" s="1193"/>
      <c r="BE76" s="1193"/>
      <c r="BF76" s="1193"/>
      <c r="BG76" s="1193"/>
    </row>
    <row r="77" spans="18:59" x14ac:dyDescent="0.35">
      <c r="R77" s="1193"/>
      <c r="S77" s="1193"/>
      <c r="W77" s="1193"/>
      <c r="X77" s="1193"/>
      <c r="AE77" s="1193"/>
      <c r="AF77" s="1193"/>
      <c r="AV77" s="1193"/>
      <c r="AW77" s="1193"/>
      <c r="AX77" s="1193"/>
      <c r="AY77" s="1193"/>
      <c r="AZ77" s="1193"/>
      <c r="BA77" s="1193"/>
      <c r="BC77" s="1193"/>
      <c r="BE77" s="1193"/>
      <c r="BF77" s="1193"/>
      <c r="BG77" s="1193"/>
    </row>
    <row r="78" spans="18:59" x14ac:dyDescent="0.35">
      <c r="R78" s="1193"/>
      <c r="S78" s="1193"/>
      <c r="W78" s="1193"/>
      <c r="X78" s="1193"/>
      <c r="AE78" s="1193"/>
      <c r="AF78" s="1193"/>
      <c r="AV78" s="1193"/>
      <c r="AW78" s="1193"/>
      <c r="AX78" s="1193"/>
      <c r="AY78" s="1193"/>
      <c r="AZ78" s="1193"/>
      <c r="BA78" s="1193"/>
      <c r="BC78" s="1193"/>
      <c r="BE78" s="1193"/>
      <c r="BF78" s="1193"/>
      <c r="BG78" s="1193"/>
    </row>
    <row r="79" spans="18:59" x14ac:dyDescent="0.35">
      <c r="R79" s="1193"/>
      <c r="S79" s="1193"/>
      <c r="W79" s="1193"/>
      <c r="X79" s="1193"/>
      <c r="AE79" s="1193"/>
      <c r="AF79" s="1193"/>
      <c r="AV79" s="1193"/>
      <c r="AW79" s="1193"/>
      <c r="AX79" s="1193"/>
      <c r="AY79" s="1193"/>
      <c r="AZ79" s="1193"/>
      <c r="BA79" s="1193"/>
      <c r="BC79" s="1193"/>
      <c r="BE79" s="1193"/>
      <c r="BF79" s="1193"/>
      <c r="BG79" s="1193"/>
    </row>
    <row r="80" spans="18:59" x14ac:dyDescent="0.35">
      <c r="R80" s="1193"/>
      <c r="S80" s="1193"/>
      <c r="W80" s="1193"/>
      <c r="X80" s="1193"/>
      <c r="AE80" s="1193"/>
      <c r="AF80" s="1193"/>
      <c r="AV80" s="1193"/>
      <c r="AW80" s="1193"/>
      <c r="AX80" s="1193"/>
      <c r="AY80" s="1193"/>
      <c r="AZ80" s="1193"/>
      <c r="BA80" s="1193"/>
      <c r="BC80" s="1193"/>
      <c r="BE80" s="1193"/>
      <c r="BF80" s="1193"/>
      <c r="BG80" s="1193"/>
    </row>
    <row r="81" spans="18:59" x14ac:dyDescent="0.35">
      <c r="R81" s="1193"/>
      <c r="S81" s="1193"/>
      <c r="W81" s="1193"/>
      <c r="X81" s="1193"/>
      <c r="AE81" s="1193"/>
      <c r="AF81" s="1193"/>
      <c r="AV81" s="1193"/>
      <c r="AW81" s="1193"/>
      <c r="AX81" s="1193"/>
      <c r="AY81" s="1193"/>
      <c r="AZ81" s="1193"/>
      <c r="BA81" s="1193"/>
      <c r="BC81" s="1193"/>
      <c r="BE81" s="1193"/>
      <c r="BF81" s="1193"/>
      <c r="BG81" s="1193"/>
    </row>
    <row r="82" spans="18:59" x14ac:dyDescent="0.35">
      <c r="R82" s="1193"/>
      <c r="S82" s="1193"/>
      <c r="W82" s="1193"/>
      <c r="X82" s="1193"/>
      <c r="AE82" s="1193"/>
      <c r="AF82" s="1193"/>
      <c r="AV82" s="1193"/>
      <c r="AW82" s="1193"/>
      <c r="AX82" s="1193"/>
      <c r="AY82" s="1193"/>
      <c r="AZ82" s="1193"/>
      <c r="BA82" s="1193"/>
      <c r="BC82" s="1193"/>
      <c r="BE82" s="1193"/>
      <c r="BF82" s="1193"/>
      <c r="BG82" s="1193"/>
    </row>
    <row r="83" spans="18:59" x14ac:dyDescent="0.35">
      <c r="R83" s="1193"/>
      <c r="S83" s="1193"/>
      <c r="W83" s="1193"/>
      <c r="X83" s="1193"/>
      <c r="AE83" s="1193"/>
      <c r="AF83" s="1193"/>
      <c r="AV83" s="1193"/>
      <c r="AW83" s="1193"/>
      <c r="AX83" s="1193"/>
      <c r="AY83" s="1193"/>
      <c r="AZ83" s="1193"/>
      <c r="BA83" s="1193"/>
      <c r="BC83" s="1193"/>
      <c r="BE83" s="1193"/>
      <c r="BF83" s="1193"/>
      <c r="BG83" s="1193"/>
    </row>
    <row r="84" spans="18:59" x14ac:dyDescent="0.35">
      <c r="R84" s="1193"/>
      <c r="S84" s="1193"/>
      <c r="W84" s="1193"/>
      <c r="X84" s="1193"/>
      <c r="AE84" s="1193"/>
      <c r="AF84" s="1193"/>
      <c r="AV84" s="1193"/>
      <c r="AW84" s="1193"/>
      <c r="AX84" s="1193"/>
      <c r="AY84" s="1193"/>
      <c r="AZ84" s="1193"/>
      <c r="BA84" s="1193"/>
      <c r="BC84" s="1193"/>
      <c r="BE84" s="1193"/>
      <c r="BF84" s="1193"/>
      <c r="BG84" s="1193"/>
    </row>
    <row r="85" spans="18:59" x14ac:dyDescent="0.35">
      <c r="R85" s="1193"/>
      <c r="S85" s="1193"/>
      <c r="W85" s="1193"/>
      <c r="X85" s="1193"/>
      <c r="AE85" s="1193"/>
      <c r="AF85" s="1193"/>
      <c r="AV85" s="1193"/>
      <c r="AW85" s="1193"/>
      <c r="AX85" s="1193"/>
      <c r="AY85" s="1193"/>
      <c r="AZ85" s="1193"/>
      <c r="BA85" s="1193"/>
      <c r="BC85" s="1193"/>
      <c r="BE85" s="1193"/>
      <c r="BF85" s="1193"/>
      <c r="BG85" s="1193"/>
    </row>
    <row r="86" spans="18:59" x14ac:dyDescent="0.35">
      <c r="R86" s="1193"/>
      <c r="S86" s="1193"/>
      <c r="W86" s="1193"/>
      <c r="X86" s="1193"/>
      <c r="AE86" s="1193"/>
      <c r="AF86" s="1193"/>
      <c r="AV86" s="1193"/>
      <c r="AW86" s="1193"/>
      <c r="AX86" s="1193"/>
      <c r="AY86" s="1193"/>
      <c r="AZ86" s="1193"/>
      <c r="BA86" s="1193"/>
      <c r="BC86" s="1193"/>
      <c r="BE86" s="1193"/>
      <c r="BF86" s="1193"/>
      <c r="BG86" s="1193"/>
    </row>
    <row r="87" spans="18:59" x14ac:dyDescent="0.35">
      <c r="R87" s="1193"/>
      <c r="S87" s="1193"/>
      <c r="W87" s="1193"/>
      <c r="X87" s="1193"/>
      <c r="AE87" s="1193"/>
      <c r="AF87" s="1193"/>
      <c r="AV87" s="1193"/>
      <c r="AW87" s="1193"/>
      <c r="AX87" s="1193"/>
      <c r="AY87" s="1193"/>
      <c r="AZ87" s="1193"/>
      <c r="BA87" s="1193"/>
      <c r="BC87" s="1193"/>
      <c r="BE87" s="1193"/>
      <c r="BF87" s="1193"/>
      <c r="BG87" s="1193"/>
    </row>
    <row r="88" spans="18:59" x14ac:dyDescent="0.35">
      <c r="R88" s="1193"/>
      <c r="S88" s="1193"/>
      <c r="W88" s="1193"/>
      <c r="X88" s="1193"/>
      <c r="AE88" s="1193"/>
      <c r="AF88" s="1193"/>
      <c r="AV88" s="1193"/>
      <c r="AW88" s="1193"/>
      <c r="AX88" s="1193"/>
      <c r="AY88" s="1193"/>
      <c r="AZ88" s="1193"/>
      <c r="BA88" s="1193"/>
      <c r="BC88" s="1193"/>
      <c r="BE88" s="1193"/>
      <c r="BF88" s="1193"/>
      <c r="BG88" s="1193"/>
    </row>
    <row r="89" spans="18:59" x14ac:dyDescent="0.35">
      <c r="R89" s="1193"/>
      <c r="S89" s="1193"/>
      <c r="W89" s="1193"/>
      <c r="X89" s="1193"/>
      <c r="AE89" s="1193"/>
      <c r="AF89" s="1193"/>
      <c r="AV89" s="1193"/>
      <c r="AW89" s="1193"/>
      <c r="AX89" s="1193"/>
      <c r="AY89" s="1193"/>
      <c r="AZ89" s="1193"/>
      <c r="BA89" s="1193"/>
      <c r="BC89" s="1193"/>
      <c r="BE89" s="1193"/>
      <c r="BF89" s="1193"/>
      <c r="BG89" s="1193"/>
    </row>
    <row r="90" spans="18:59" x14ac:dyDescent="0.35">
      <c r="R90" s="1193"/>
      <c r="S90" s="1193"/>
      <c r="W90" s="1193"/>
      <c r="X90" s="1193"/>
      <c r="AE90" s="1193"/>
      <c r="AF90" s="1193"/>
      <c r="AV90" s="1193"/>
      <c r="AW90" s="1193"/>
      <c r="AX90" s="1193"/>
      <c r="AY90" s="1193"/>
      <c r="AZ90" s="1193"/>
      <c r="BA90" s="1193"/>
      <c r="BC90" s="1193"/>
      <c r="BE90" s="1193"/>
      <c r="BF90" s="1193"/>
      <c r="BG90" s="1193"/>
    </row>
    <row r="91" spans="18:59" x14ac:dyDescent="0.35">
      <c r="R91" s="1193"/>
      <c r="S91" s="1193"/>
      <c r="W91" s="1193"/>
      <c r="X91" s="1193"/>
      <c r="AE91" s="1193"/>
      <c r="AF91" s="1193"/>
      <c r="AV91" s="1193"/>
      <c r="AW91" s="1193"/>
      <c r="AX91" s="1193"/>
      <c r="AY91" s="1193"/>
      <c r="AZ91" s="1193"/>
      <c r="BA91" s="1193"/>
      <c r="BC91" s="1193"/>
      <c r="BE91" s="1193"/>
      <c r="BF91" s="1193"/>
      <c r="BG91" s="1193"/>
    </row>
    <row r="92" spans="18:59" x14ac:dyDescent="0.35">
      <c r="R92" s="1193"/>
      <c r="S92" s="1193"/>
      <c r="W92" s="1193"/>
      <c r="X92" s="1193"/>
      <c r="AE92" s="1193"/>
      <c r="AF92" s="1193"/>
      <c r="AV92" s="1193"/>
      <c r="AW92" s="1193"/>
      <c r="AX92" s="1193"/>
      <c r="AY92" s="1193"/>
      <c r="AZ92" s="1193"/>
      <c r="BA92" s="1193"/>
      <c r="BC92" s="1193"/>
      <c r="BE92" s="1193"/>
      <c r="BF92" s="1193"/>
      <c r="BG92" s="1193"/>
    </row>
    <row r="93" spans="18:59" x14ac:dyDescent="0.35">
      <c r="R93" s="1193"/>
      <c r="S93" s="1193"/>
      <c r="W93" s="1193"/>
      <c r="X93" s="1193"/>
      <c r="AE93" s="1193"/>
      <c r="AF93" s="1193"/>
      <c r="AV93" s="1193"/>
      <c r="AW93" s="1193"/>
      <c r="AX93" s="1193"/>
      <c r="AY93" s="1193"/>
      <c r="AZ93" s="1193"/>
      <c r="BA93" s="1193"/>
      <c r="BC93" s="1193"/>
      <c r="BE93" s="1193"/>
      <c r="BF93" s="1193"/>
      <c r="BG93" s="1193"/>
    </row>
    <row r="94" spans="18:59" x14ac:dyDescent="0.35">
      <c r="R94" s="1193"/>
      <c r="S94" s="1193"/>
      <c r="W94" s="1193"/>
      <c r="X94" s="1193"/>
      <c r="AE94" s="1193"/>
      <c r="AF94" s="1193"/>
      <c r="AV94" s="1193"/>
      <c r="AW94" s="1193"/>
      <c r="AX94" s="1193"/>
      <c r="AY94" s="1193"/>
      <c r="AZ94" s="1193"/>
      <c r="BA94" s="1193"/>
      <c r="BC94" s="1193"/>
      <c r="BE94" s="1193"/>
      <c r="BF94" s="1193"/>
      <c r="BG94" s="1193"/>
    </row>
    <row r="95" spans="18:59" x14ac:dyDescent="0.35">
      <c r="R95" s="1193"/>
      <c r="S95" s="1193"/>
      <c r="W95" s="1193"/>
      <c r="X95" s="1193"/>
      <c r="AE95" s="1193"/>
      <c r="AF95" s="1193"/>
      <c r="AV95" s="1193"/>
      <c r="AW95" s="1193"/>
      <c r="AX95" s="1193"/>
      <c r="AY95" s="1193"/>
      <c r="AZ95" s="1193"/>
      <c r="BA95" s="1193"/>
      <c r="BC95" s="1193"/>
      <c r="BE95" s="1193"/>
      <c r="BF95" s="1193"/>
      <c r="BG95" s="1193"/>
    </row>
    <row r="96" spans="18:59" x14ac:dyDescent="0.35">
      <c r="R96" s="1193"/>
      <c r="S96" s="1193"/>
      <c r="W96" s="1193"/>
      <c r="X96" s="1193"/>
      <c r="AE96" s="1193"/>
      <c r="AF96" s="1193"/>
      <c r="AV96" s="1193"/>
      <c r="AW96" s="1193"/>
      <c r="AX96" s="1193"/>
      <c r="AY96" s="1193"/>
      <c r="AZ96" s="1193"/>
      <c r="BA96" s="1193"/>
      <c r="BC96" s="1193"/>
      <c r="BE96" s="1193"/>
      <c r="BF96" s="1193"/>
      <c r="BG96" s="1193"/>
    </row>
    <row r="97" spans="18:59" x14ac:dyDescent="0.35">
      <c r="R97" s="1193"/>
      <c r="S97" s="1193"/>
      <c r="W97" s="1193"/>
      <c r="X97" s="1193"/>
      <c r="AE97" s="1193"/>
      <c r="AF97" s="1193"/>
      <c r="AV97" s="1193"/>
      <c r="AW97" s="1193"/>
      <c r="AX97" s="1193"/>
      <c r="AY97" s="1193"/>
      <c r="AZ97" s="1193"/>
      <c r="BA97" s="1193"/>
      <c r="BC97" s="1193"/>
      <c r="BE97" s="1193"/>
      <c r="BF97" s="1193"/>
      <c r="BG97" s="1193"/>
    </row>
    <row r="98" spans="18:59" x14ac:dyDescent="0.35">
      <c r="R98" s="1193"/>
      <c r="S98" s="1193"/>
      <c r="W98" s="1193"/>
      <c r="X98" s="1193"/>
      <c r="AE98" s="1193"/>
      <c r="AF98" s="1193"/>
      <c r="AV98" s="1193"/>
      <c r="AW98" s="1193"/>
      <c r="AX98" s="1193"/>
      <c r="AY98" s="1193"/>
      <c r="AZ98" s="1193"/>
      <c r="BA98" s="1193"/>
      <c r="BC98" s="1193"/>
      <c r="BE98" s="1193"/>
      <c r="BF98" s="1193"/>
      <c r="BG98" s="1193"/>
    </row>
    <row r="99" spans="18:59" x14ac:dyDescent="0.35">
      <c r="R99" s="1193"/>
      <c r="S99" s="1193"/>
      <c r="W99" s="1193"/>
      <c r="X99" s="1193"/>
      <c r="AE99" s="1193"/>
      <c r="AF99" s="1193"/>
      <c r="AV99" s="1193"/>
      <c r="AW99" s="1193"/>
      <c r="AX99" s="1193"/>
      <c r="AY99" s="1193"/>
      <c r="AZ99" s="1193"/>
      <c r="BA99" s="1193"/>
      <c r="BC99" s="1193"/>
      <c r="BE99" s="1193"/>
      <c r="BF99" s="1193"/>
      <c r="BG99" s="1193"/>
    </row>
    <row r="100" spans="18:59" x14ac:dyDescent="0.35">
      <c r="R100" s="1193"/>
      <c r="S100" s="1193"/>
      <c r="W100" s="1193"/>
      <c r="X100" s="1193"/>
      <c r="AE100" s="1193"/>
      <c r="AF100" s="1193"/>
      <c r="AV100" s="1193"/>
      <c r="AW100" s="1193"/>
      <c r="AX100" s="1193"/>
      <c r="AY100" s="1193"/>
      <c r="AZ100" s="1193"/>
      <c r="BA100" s="1193"/>
      <c r="BC100" s="1193"/>
      <c r="BE100" s="1193"/>
      <c r="BF100" s="1193"/>
      <c r="BG100" s="1193"/>
    </row>
    <row r="101" spans="18:59" x14ac:dyDescent="0.35">
      <c r="R101" s="1193"/>
      <c r="S101" s="1193"/>
      <c r="W101" s="1193"/>
      <c r="X101" s="1193"/>
      <c r="AE101" s="1193"/>
      <c r="AF101" s="1193"/>
      <c r="AV101" s="1193"/>
      <c r="AW101" s="1193"/>
      <c r="AX101" s="1193"/>
      <c r="AY101" s="1193"/>
      <c r="AZ101" s="1193"/>
      <c r="BA101" s="1193"/>
      <c r="BC101" s="1193"/>
      <c r="BE101" s="1193"/>
      <c r="BF101" s="1193"/>
      <c r="BG101" s="1193"/>
    </row>
    <row r="102" spans="18:59" x14ac:dyDescent="0.35">
      <c r="R102" s="1193"/>
      <c r="S102" s="1193"/>
      <c r="W102" s="1193"/>
      <c r="X102" s="1193"/>
      <c r="AE102" s="1193"/>
      <c r="AF102" s="1193"/>
      <c r="AV102" s="1193"/>
      <c r="AW102" s="1193"/>
      <c r="AX102" s="1193"/>
      <c r="AY102" s="1193"/>
      <c r="AZ102" s="1193"/>
      <c r="BA102" s="1193"/>
      <c r="BC102" s="1193"/>
      <c r="BE102" s="1193"/>
      <c r="BF102" s="1193"/>
      <c r="BG102" s="1193"/>
    </row>
    <row r="103" spans="18:59" x14ac:dyDescent="0.35">
      <c r="R103" s="1193"/>
      <c r="S103" s="1193"/>
      <c r="W103" s="1193"/>
      <c r="X103" s="1193"/>
      <c r="AE103" s="1193"/>
      <c r="AF103" s="1193"/>
      <c r="AV103" s="1193"/>
      <c r="AW103" s="1193"/>
      <c r="AX103" s="1193"/>
      <c r="AY103" s="1193"/>
      <c r="AZ103" s="1193"/>
      <c r="BA103" s="1193"/>
      <c r="BC103" s="1193"/>
      <c r="BE103" s="1193"/>
      <c r="BF103" s="1193"/>
      <c r="BG103" s="1193"/>
    </row>
    <row r="104" spans="18:59" x14ac:dyDescent="0.35">
      <c r="R104" s="1193"/>
      <c r="S104" s="1193"/>
      <c r="W104" s="1193"/>
      <c r="X104" s="1193"/>
      <c r="AE104" s="1193"/>
      <c r="AF104" s="1193"/>
      <c r="AV104" s="1193"/>
      <c r="AW104" s="1193"/>
      <c r="AX104" s="1193"/>
      <c r="AY104" s="1193"/>
      <c r="AZ104" s="1193"/>
      <c r="BA104" s="1193"/>
      <c r="BC104" s="1193"/>
      <c r="BE104" s="1193"/>
      <c r="BF104" s="1193"/>
      <c r="BG104" s="1193"/>
    </row>
    <row r="105" spans="18:59" x14ac:dyDescent="0.35">
      <c r="R105" s="1193"/>
      <c r="S105" s="1193"/>
      <c r="W105" s="1193"/>
      <c r="X105" s="1193"/>
      <c r="AE105" s="1193"/>
      <c r="AF105" s="1193"/>
      <c r="AV105" s="1193"/>
      <c r="AW105" s="1193"/>
      <c r="AX105" s="1193"/>
      <c r="AY105" s="1193"/>
      <c r="AZ105" s="1193"/>
      <c r="BA105" s="1193"/>
      <c r="BC105" s="1193"/>
      <c r="BE105" s="1193"/>
      <c r="BF105" s="1193"/>
      <c r="BG105" s="1193"/>
    </row>
    <row r="106" spans="18:59" x14ac:dyDescent="0.35">
      <c r="R106" s="1193"/>
      <c r="S106" s="1193"/>
      <c r="W106" s="1193"/>
      <c r="X106" s="1193"/>
      <c r="AE106" s="1193"/>
      <c r="AF106" s="1193"/>
      <c r="AV106" s="1193"/>
      <c r="AW106" s="1193"/>
      <c r="AX106" s="1193"/>
      <c r="AY106" s="1193"/>
      <c r="AZ106" s="1193"/>
      <c r="BA106" s="1193"/>
      <c r="BC106" s="1193"/>
      <c r="BE106" s="1193"/>
      <c r="BF106" s="1193"/>
      <c r="BG106" s="1193"/>
    </row>
    <row r="107" spans="18:59" x14ac:dyDescent="0.35">
      <c r="R107" s="1193"/>
      <c r="S107" s="1193"/>
      <c r="W107" s="1193"/>
      <c r="X107" s="1193"/>
      <c r="AE107" s="1193"/>
      <c r="AF107" s="1193"/>
      <c r="AV107" s="1193"/>
      <c r="AW107" s="1193"/>
      <c r="AX107" s="1193"/>
      <c r="AY107" s="1193"/>
      <c r="AZ107" s="1193"/>
      <c r="BA107" s="1193"/>
      <c r="BC107" s="1193"/>
      <c r="BE107" s="1193"/>
      <c r="BF107" s="1193"/>
      <c r="BG107" s="1193"/>
    </row>
    <row r="108" spans="18:59" x14ac:dyDescent="0.35">
      <c r="R108" s="1193"/>
      <c r="S108" s="1193"/>
      <c r="W108" s="1193"/>
      <c r="X108" s="1193"/>
      <c r="AE108" s="1193"/>
      <c r="AF108" s="1193"/>
      <c r="AV108" s="1193"/>
      <c r="AW108" s="1193"/>
      <c r="AX108" s="1193"/>
      <c r="AY108" s="1193"/>
      <c r="AZ108" s="1193"/>
      <c r="BA108" s="1193"/>
      <c r="BC108" s="1193"/>
      <c r="BE108" s="1193"/>
      <c r="BF108" s="1193"/>
      <c r="BG108" s="1193"/>
    </row>
    <row r="109" spans="18:59" x14ac:dyDescent="0.35">
      <c r="R109" s="1193"/>
      <c r="S109" s="1193"/>
      <c r="W109" s="1193"/>
      <c r="X109" s="1193"/>
      <c r="AE109" s="1193"/>
      <c r="AF109" s="1193"/>
      <c r="AV109" s="1193"/>
      <c r="AW109" s="1193"/>
      <c r="AX109" s="1193"/>
      <c r="AY109" s="1193"/>
      <c r="AZ109" s="1193"/>
      <c r="BA109" s="1193"/>
      <c r="BC109" s="1193"/>
      <c r="BE109" s="1193"/>
      <c r="BF109" s="1193"/>
      <c r="BG109" s="1193"/>
    </row>
    <row r="110" spans="18:59" x14ac:dyDescent="0.35">
      <c r="R110" s="1193"/>
      <c r="S110" s="1193"/>
      <c r="W110" s="1193"/>
      <c r="X110" s="1193"/>
      <c r="AE110" s="1193"/>
      <c r="AF110" s="1193"/>
      <c r="AV110" s="1193"/>
      <c r="AW110" s="1193"/>
      <c r="AX110" s="1193"/>
      <c r="AY110" s="1193"/>
      <c r="AZ110" s="1193"/>
      <c r="BA110" s="1193"/>
      <c r="BC110" s="1193"/>
      <c r="BE110" s="1193"/>
      <c r="BF110" s="1193"/>
      <c r="BG110" s="1193"/>
    </row>
    <row r="111" spans="18:59" x14ac:dyDescent="0.35">
      <c r="R111" s="1193"/>
      <c r="S111" s="1193"/>
      <c r="W111" s="1193"/>
      <c r="X111" s="1193"/>
      <c r="AE111" s="1193"/>
      <c r="AF111" s="1193"/>
      <c r="AV111" s="1193"/>
      <c r="AW111" s="1193"/>
      <c r="AX111" s="1193"/>
      <c r="AY111" s="1193"/>
      <c r="AZ111" s="1193"/>
      <c r="BA111" s="1193"/>
      <c r="BC111" s="1193"/>
      <c r="BE111" s="1193"/>
      <c r="BF111" s="1193"/>
      <c r="BG111" s="1193"/>
    </row>
    <row r="112" spans="18:59" x14ac:dyDescent="0.35">
      <c r="R112" s="1193"/>
      <c r="S112" s="1193"/>
      <c r="W112" s="1193"/>
      <c r="X112" s="1193"/>
      <c r="AE112" s="1193"/>
      <c r="AF112" s="1193"/>
      <c r="AV112" s="1193"/>
      <c r="AW112" s="1193"/>
      <c r="AX112" s="1193"/>
      <c r="AY112" s="1193"/>
      <c r="AZ112" s="1193"/>
      <c r="BA112" s="1193"/>
      <c r="BC112" s="1193"/>
      <c r="BE112" s="1193"/>
      <c r="BF112" s="1193"/>
      <c r="BG112" s="1193"/>
    </row>
    <row r="113" spans="18:59" x14ac:dyDescent="0.35">
      <c r="R113" s="1193"/>
      <c r="S113" s="1193"/>
      <c r="W113" s="1193"/>
      <c r="X113" s="1193"/>
      <c r="AE113" s="1193"/>
      <c r="AF113" s="1193"/>
      <c r="AV113" s="1193"/>
      <c r="AW113" s="1193"/>
      <c r="AX113" s="1193"/>
      <c r="AY113" s="1193"/>
      <c r="AZ113" s="1193"/>
      <c r="BA113" s="1193"/>
      <c r="BC113" s="1193"/>
      <c r="BE113" s="1193"/>
      <c r="BF113" s="1193"/>
      <c r="BG113" s="1193"/>
    </row>
    <row r="114" spans="18:59" x14ac:dyDescent="0.35">
      <c r="R114" s="1193"/>
      <c r="S114" s="1193"/>
      <c r="W114" s="1193"/>
      <c r="X114" s="1193"/>
      <c r="AE114" s="1193"/>
      <c r="AF114" s="1193"/>
      <c r="AV114" s="1193"/>
      <c r="AW114" s="1193"/>
      <c r="AX114" s="1193"/>
      <c r="AY114" s="1193"/>
      <c r="AZ114" s="1193"/>
      <c r="BA114" s="1193"/>
      <c r="BC114" s="1193"/>
      <c r="BE114" s="1193"/>
      <c r="BF114" s="1193"/>
      <c r="BG114" s="1193"/>
    </row>
    <row r="115" spans="18:59" x14ac:dyDescent="0.35">
      <c r="R115" s="1193"/>
      <c r="S115" s="1193"/>
      <c r="W115" s="1193"/>
      <c r="X115" s="1193"/>
      <c r="AE115" s="1193"/>
      <c r="AF115" s="1193"/>
      <c r="AV115" s="1193"/>
      <c r="AW115" s="1193"/>
      <c r="AX115" s="1193"/>
      <c r="AY115" s="1193"/>
      <c r="AZ115" s="1193"/>
      <c r="BA115" s="1193"/>
      <c r="BC115" s="1193"/>
      <c r="BE115" s="1193"/>
      <c r="BF115" s="1193"/>
      <c r="BG115" s="1193"/>
    </row>
    <row r="116" spans="18:59" x14ac:dyDescent="0.35">
      <c r="R116" s="1193"/>
      <c r="S116" s="1193"/>
      <c r="W116" s="1193"/>
      <c r="X116" s="1193"/>
      <c r="AE116" s="1193"/>
      <c r="AF116" s="1193"/>
      <c r="AV116" s="1193"/>
      <c r="AW116" s="1193"/>
      <c r="AX116" s="1193"/>
      <c r="AY116" s="1193"/>
      <c r="AZ116" s="1193"/>
      <c r="BA116" s="1193"/>
      <c r="BC116" s="1193"/>
      <c r="BE116" s="1193"/>
      <c r="BF116" s="1193"/>
      <c r="BG116" s="1193"/>
    </row>
    <row r="117" spans="18:59" x14ac:dyDescent="0.35">
      <c r="R117" s="1193"/>
      <c r="S117" s="1193"/>
      <c r="W117" s="1193"/>
      <c r="X117" s="1193"/>
      <c r="AE117" s="1193"/>
      <c r="AF117" s="1193"/>
      <c r="AV117" s="1193"/>
      <c r="AW117" s="1193"/>
      <c r="AX117" s="1193"/>
      <c r="AY117" s="1193"/>
      <c r="AZ117" s="1193"/>
      <c r="BA117" s="1193"/>
      <c r="BC117" s="1193"/>
      <c r="BE117" s="1193"/>
      <c r="BF117" s="1193"/>
      <c r="BG117" s="1193"/>
    </row>
    <row r="118" spans="18:59" x14ac:dyDescent="0.35">
      <c r="R118" s="1193"/>
      <c r="S118" s="1193"/>
      <c r="W118" s="1193"/>
      <c r="X118" s="1193"/>
      <c r="AE118" s="1193"/>
      <c r="AF118" s="1193"/>
      <c r="AV118" s="1193"/>
      <c r="AW118" s="1193"/>
      <c r="AX118" s="1193"/>
      <c r="AY118" s="1193"/>
      <c r="AZ118" s="1193"/>
      <c r="BA118" s="1193"/>
      <c r="BC118" s="1193"/>
      <c r="BE118" s="1193"/>
      <c r="BF118" s="1193"/>
      <c r="BG118" s="1193"/>
    </row>
    <row r="119" spans="18:59" x14ac:dyDescent="0.35">
      <c r="R119" s="1193"/>
      <c r="S119" s="1193"/>
      <c r="W119" s="1193"/>
      <c r="X119" s="1193"/>
      <c r="AE119" s="1193"/>
      <c r="AF119" s="1193"/>
      <c r="AV119" s="1193"/>
      <c r="AW119" s="1193"/>
      <c r="AX119" s="1193"/>
      <c r="AY119" s="1193"/>
      <c r="AZ119" s="1193"/>
      <c r="BA119" s="1193"/>
      <c r="BC119" s="1193"/>
      <c r="BE119" s="1193"/>
      <c r="BF119" s="1193"/>
      <c r="BG119" s="1193"/>
    </row>
    <row r="120" spans="18:59" x14ac:dyDescent="0.35">
      <c r="R120" s="1193"/>
      <c r="S120" s="1193"/>
      <c r="W120" s="1193"/>
      <c r="X120" s="1193"/>
      <c r="AE120" s="1193"/>
      <c r="AF120" s="1193"/>
      <c r="AV120" s="1193"/>
      <c r="AW120" s="1193"/>
      <c r="AX120" s="1193"/>
      <c r="AY120" s="1193"/>
      <c r="AZ120" s="1193"/>
      <c r="BA120" s="1193"/>
      <c r="BC120" s="1193"/>
      <c r="BE120" s="1193"/>
      <c r="BF120" s="1193"/>
      <c r="BG120" s="1193"/>
    </row>
    <row r="121" spans="18:59" x14ac:dyDescent="0.35">
      <c r="R121" s="1193"/>
      <c r="S121" s="1193"/>
      <c r="W121" s="1193"/>
      <c r="X121" s="1193"/>
      <c r="AE121" s="1193"/>
      <c r="AF121" s="1193"/>
      <c r="AV121" s="1193"/>
      <c r="AW121" s="1193"/>
      <c r="AX121" s="1193"/>
      <c r="AY121" s="1193"/>
      <c r="AZ121" s="1193"/>
      <c r="BA121" s="1193"/>
      <c r="BC121" s="1193"/>
      <c r="BE121" s="1193"/>
      <c r="BF121" s="1193"/>
      <c r="BG121" s="1193"/>
    </row>
    <row r="122" spans="18:59" x14ac:dyDescent="0.35">
      <c r="R122" s="1193"/>
      <c r="S122" s="1193"/>
      <c r="W122" s="1193"/>
      <c r="X122" s="1193"/>
      <c r="AE122" s="1193"/>
      <c r="AF122" s="1193"/>
      <c r="AV122" s="1193"/>
      <c r="AW122" s="1193"/>
      <c r="AX122" s="1193"/>
      <c r="AY122" s="1193"/>
      <c r="AZ122" s="1193"/>
      <c r="BA122" s="1193"/>
      <c r="BC122" s="1193"/>
      <c r="BE122" s="1193"/>
      <c r="BF122" s="1193"/>
      <c r="BG122" s="1193"/>
    </row>
    <row r="123" spans="18:59" x14ac:dyDescent="0.35">
      <c r="R123" s="1193"/>
      <c r="S123" s="1193"/>
      <c r="W123" s="1193"/>
      <c r="X123" s="1193"/>
      <c r="AE123" s="1193"/>
      <c r="AF123" s="1193"/>
      <c r="AV123" s="1193"/>
      <c r="AW123" s="1193"/>
      <c r="AX123" s="1193"/>
      <c r="AY123" s="1193"/>
      <c r="AZ123" s="1193"/>
      <c r="BA123" s="1193"/>
      <c r="BC123" s="1193"/>
      <c r="BE123" s="1193"/>
      <c r="BF123" s="1193"/>
      <c r="BG123" s="1193"/>
    </row>
    <row r="124" spans="18:59" x14ac:dyDescent="0.35">
      <c r="R124" s="1193"/>
      <c r="S124" s="1193"/>
      <c r="W124" s="1193"/>
      <c r="X124" s="1193"/>
      <c r="AE124" s="1193"/>
      <c r="AF124" s="1193"/>
      <c r="AV124" s="1193"/>
      <c r="AW124" s="1193"/>
      <c r="AX124" s="1193"/>
      <c r="AY124" s="1193"/>
      <c r="AZ124" s="1193"/>
      <c r="BA124" s="1193"/>
      <c r="BC124" s="1193"/>
      <c r="BE124" s="1193"/>
      <c r="BF124" s="1193"/>
      <c r="BG124" s="1193"/>
    </row>
    <row r="125" spans="18:59" x14ac:dyDescent="0.35">
      <c r="R125" s="1193"/>
      <c r="S125" s="1193"/>
      <c r="W125" s="1193"/>
      <c r="X125" s="1193"/>
      <c r="AE125" s="1193"/>
      <c r="AF125" s="1193"/>
      <c r="AV125" s="1193"/>
      <c r="AW125" s="1193"/>
      <c r="AX125" s="1193"/>
      <c r="AY125" s="1193"/>
      <c r="AZ125" s="1193"/>
      <c r="BA125" s="1193"/>
      <c r="BC125" s="1193"/>
      <c r="BE125" s="1193"/>
      <c r="BF125" s="1193"/>
      <c r="BG125" s="1193"/>
    </row>
    <row r="126" spans="18:59" x14ac:dyDescent="0.35">
      <c r="R126" s="1193"/>
      <c r="S126" s="1193"/>
      <c r="W126" s="1193"/>
      <c r="X126" s="1193"/>
      <c r="AE126" s="1193"/>
      <c r="AF126" s="1193"/>
      <c r="AV126" s="1193"/>
      <c r="AW126" s="1193"/>
      <c r="AX126" s="1193"/>
      <c r="AY126" s="1193"/>
      <c r="AZ126" s="1193"/>
      <c r="BA126" s="1193"/>
      <c r="BC126" s="1193"/>
      <c r="BE126" s="1193"/>
      <c r="BF126" s="1193"/>
      <c r="BG126" s="1193"/>
    </row>
    <row r="127" spans="18:59" x14ac:dyDescent="0.35">
      <c r="R127" s="1193"/>
      <c r="S127" s="1193"/>
      <c r="W127" s="1193"/>
      <c r="X127" s="1193"/>
      <c r="AE127" s="1193"/>
      <c r="AF127" s="1193"/>
      <c r="AV127" s="1193"/>
      <c r="AW127" s="1193"/>
      <c r="AX127" s="1193"/>
      <c r="AY127" s="1193"/>
      <c r="AZ127" s="1193"/>
      <c r="BA127" s="1193"/>
      <c r="BC127" s="1193"/>
      <c r="BE127" s="1193"/>
      <c r="BF127" s="1193"/>
      <c r="BG127" s="1193"/>
    </row>
    <row r="128" spans="18:59" x14ac:dyDescent="0.35">
      <c r="R128" s="1193"/>
      <c r="S128" s="1193"/>
      <c r="W128" s="1193"/>
      <c r="X128" s="1193"/>
      <c r="AE128" s="1193"/>
      <c r="AF128" s="1193"/>
      <c r="AV128" s="1193"/>
      <c r="AW128" s="1193"/>
      <c r="AX128" s="1193"/>
      <c r="AY128" s="1193"/>
      <c r="AZ128" s="1193"/>
      <c r="BA128" s="1193"/>
      <c r="BC128" s="1193"/>
      <c r="BE128" s="1193"/>
      <c r="BF128" s="1193"/>
      <c r="BG128" s="1193"/>
    </row>
    <row r="129" spans="18:59" x14ac:dyDescent="0.35">
      <c r="R129" s="1193"/>
      <c r="S129" s="1193"/>
      <c r="W129" s="1193"/>
      <c r="X129" s="1193"/>
      <c r="AE129" s="1193"/>
      <c r="AF129" s="1193"/>
      <c r="AV129" s="1193"/>
      <c r="AW129" s="1193"/>
      <c r="AX129" s="1193"/>
      <c r="AY129" s="1193"/>
      <c r="AZ129" s="1193"/>
      <c r="BA129" s="1193"/>
      <c r="BC129" s="1193"/>
      <c r="BE129" s="1193"/>
      <c r="BF129" s="1193"/>
      <c r="BG129" s="1193"/>
    </row>
    <row r="130" spans="18:59" x14ac:dyDescent="0.35">
      <c r="R130" s="1193"/>
      <c r="S130" s="1193"/>
      <c r="W130" s="1193"/>
      <c r="X130" s="1193"/>
      <c r="AE130" s="1193"/>
      <c r="AF130" s="1193"/>
      <c r="AV130" s="1193"/>
      <c r="AW130" s="1193"/>
      <c r="AX130" s="1193"/>
      <c r="AY130" s="1193"/>
      <c r="AZ130" s="1193"/>
      <c r="BA130" s="1193"/>
      <c r="BC130" s="1193"/>
      <c r="BE130" s="1193"/>
      <c r="BF130" s="1193"/>
      <c r="BG130" s="1193"/>
    </row>
    <row r="131" spans="18:59" x14ac:dyDescent="0.35">
      <c r="R131" s="1193"/>
      <c r="S131" s="1193"/>
      <c r="W131" s="1193"/>
      <c r="X131" s="1193"/>
      <c r="AE131" s="1193"/>
      <c r="AF131" s="1193"/>
      <c r="AV131" s="1193"/>
      <c r="AW131" s="1193"/>
      <c r="AX131" s="1193"/>
      <c r="AY131" s="1193"/>
      <c r="AZ131" s="1193"/>
      <c r="BA131" s="1193"/>
      <c r="BC131" s="1193"/>
      <c r="BE131" s="1193"/>
      <c r="BF131" s="1193"/>
      <c r="BG131" s="1193"/>
    </row>
    <row r="132" spans="18:59" x14ac:dyDescent="0.35">
      <c r="R132" s="1193"/>
      <c r="S132" s="1193"/>
      <c r="W132" s="1193"/>
      <c r="X132" s="1193"/>
      <c r="AE132" s="1193"/>
      <c r="AF132" s="1193"/>
      <c r="AV132" s="1193"/>
      <c r="AW132" s="1193"/>
      <c r="AX132" s="1193"/>
      <c r="AY132" s="1193"/>
      <c r="AZ132" s="1193"/>
      <c r="BA132" s="1193"/>
      <c r="BC132" s="1193"/>
      <c r="BE132" s="1193"/>
      <c r="BF132" s="1193"/>
      <c r="BG132" s="1193"/>
    </row>
    <row r="133" spans="18:59" x14ac:dyDescent="0.35">
      <c r="R133" s="1193"/>
      <c r="S133" s="1193"/>
      <c r="W133" s="1193"/>
      <c r="X133" s="1193"/>
      <c r="AE133" s="1193"/>
      <c r="AF133" s="1193"/>
      <c r="AV133" s="1193"/>
      <c r="AW133" s="1193"/>
      <c r="AX133" s="1193"/>
      <c r="AY133" s="1193"/>
      <c r="AZ133" s="1193"/>
      <c r="BA133" s="1193"/>
      <c r="BC133" s="1193"/>
      <c r="BE133" s="1193"/>
      <c r="BF133" s="1193"/>
      <c r="BG133" s="1193"/>
    </row>
    <row r="134" spans="18:59" x14ac:dyDescent="0.35">
      <c r="R134" s="1193"/>
      <c r="S134" s="1193"/>
      <c r="W134" s="1193"/>
      <c r="X134" s="1193"/>
      <c r="AE134" s="1193"/>
      <c r="AF134" s="1193"/>
      <c r="AV134" s="1193"/>
      <c r="AW134" s="1193"/>
      <c r="AX134" s="1193"/>
      <c r="AY134" s="1193"/>
      <c r="AZ134" s="1193"/>
      <c r="BA134" s="1193"/>
      <c r="BC134" s="1193"/>
      <c r="BE134" s="1193"/>
      <c r="BF134" s="1193"/>
      <c r="BG134" s="1193"/>
    </row>
    <row r="135" spans="18:59" x14ac:dyDescent="0.35">
      <c r="R135" s="1193"/>
      <c r="S135" s="1193"/>
      <c r="W135" s="1193"/>
      <c r="X135" s="1193"/>
      <c r="AE135" s="1193"/>
      <c r="AF135" s="1193"/>
      <c r="AV135" s="1193"/>
      <c r="AW135" s="1193"/>
      <c r="AX135" s="1193"/>
      <c r="AY135" s="1193"/>
      <c r="AZ135" s="1193"/>
      <c r="BA135" s="1193"/>
      <c r="BC135" s="1193"/>
      <c r="BE135" s="1193"/>
      <c r="BF135" s="1193"/>
      <c r="BG135" s="1193"/>
    </row>
    <row r="136" spans="18:59" x14ac:dyDescent="0.35">
      <c r="R136" s="1193"/>
      <c r="S136" s="1193"/>
      <c r="W136" s="1193"/>
      <c r="X136" s="1193"/>
      <c r="AE136" s="1193"/>
      <c r="AF136" s="1193"/>
      <c r="AV136" s="1193"/>
      <c r="AW136" s="1193"/>
      <c r="AX136" s="1193"/>
      <c r="AY136" s="1193"/>
      <c r="AZ136" s="1193"/>
      <c r="BA136" s="1193"/>
      <c r="BC136" s="1193"/>
      <c r="BE136" s="1193"/>
      <c r="BF136" s="1193"/>
      <c r="BG136" s="1193"/>
    </row>
    <row r="137" spans="18:59" x14ac:dyDescent="0.35">
      <c r="R137" s="1193"/>
      <c r="S137" s="1193"/>
      <c r="W137" s="1193"/>
      <c r="X137" s="1193"/>
      <c r="AE137" s="1193"/>
      <c r="AF137" s="1193"/>
      <c r="AV137" s="1193"/>
      <c r="AW137" s="1193"/>
      <c r="AX137" s="1193"/>
      <c r="AY137" s="1193"/>
      <c r="AZ137" s="1193"/>
      <c r="BA137" s="1193"/>
      <c r="BC137" s="1193"/>
      <c r="BE137" s="1193"/>
      <c r="BF137" s="1193"/>
      <c r="BG137" s="1193"/>
    </row>
    <row r="138" spans="18:59" x14ac:dyDescent="0.35">
      <c r="R138" s="1193"/>
      <c r="S138" s="1193"/>
      <c r="W138" s="1193"/>
      <c r="X138" s="1193"/>
      <c r="AE138" s="1193"/>
      <c r="AF138" s="1193"/>
      <c r="AV138" s="1193"/>
      <c r="AW138" s="1193"/>
      <c r="AX138" s="1193"/>
      <c r="AY138" s="1193"/>
      <c r="AZ138" s="1193"/>
      <c r="BA138" s="1193"/>
      <c r="BC138" s="1193"/>
      <c r="BE138" s="1193"/>
      <c r="BF138" s="1193"/>
      <c r="BG138" s="1193"/>
    </row>
    <row r="139" spans="18:59" x14ac:dyDescent="0.35">
      <c r="R139" s="1193"/>
      <c r="S139" s="1193"/>
      <c r="W139" s="1193"/>
      <c r="X139" s="1193"/>
      <c r="AE139" s="1193"/>
      <c r="AF139" s="1193"/>
      <c r="AV139" s="1193"/>
      <c r="AW139" s="1193"/>
      <c r="AX139" s="1193"/>
      <c r="AY139" s="1193"/>
      <c r="AZ139" s="1193"/>
      <c r="BA139" s="1193"/>
      <c r="BC139" s="1193"/>
      <c r="BE139" s="1193"/>
      <c r="BF139" s="1193"/>
      <c r="BG139" s="1193"/>
    </row>
    <row r="140" spans="18:59" x14ac:dyDescent="0.35">
      <c r="R140" s="1193"/>
      <c r="S140" s="1193"/>
      <c r="W140" s="1193"/>
      <c r="X140" s="1193"/>
      <c r="AE140" s="1193"/>
      <c r="AF140" s="1193"/>
      <c r="AV140" s="1193"/>
      <c r="AW140" s="1193"/>
      <c r="AX140" s="1193"/>
      <c r="AY140" s="1193"/>
      <c r="AZ140" s="1193"/>
      <c r="BA140" s="1193"/>
      <c r="BC140" s="1193"/>
      <c r="BE140" s="1193"/>
      <c r="BF140" s="1193"/>
      <c r="BG140" s="1193"/>
    </row>
    <row r="141" spans="18:59" x14ac:dyDescent="0.35">
      <c r="R141" s="1193"/>
      <c r="S141" s="1193"/>
      <c r="W141" s="1193"/>
      <c r="X141" s="1193"/>
      <c r="AE141" s="1193"/>
      <c r="AF141" s="1193"/>
      <c r="AV141" s="1193"/>
      <c r="AW141" s="1193"/>
      <c r="AX141" s="1193"/>
      <c r="AY141" s="1193"/>
      <c r="AZ141" s="1193"/>
      <c r="BA141" s="1193"/>
      <c r="BC141" s="1193"/>
      <c r="BE141" s="1193"/>
      <c r="BF141" s="1193"/>
      <c r="BG141" s="1193"/>
    </row>
    <row r="142" spans="18:59" x14ac:dyDescent="0.35">
      <c r="R142" s="1193"/>
      <c r="S142" s="1193"/>
      <c r="W142" s="1193"/>
      <c r="X142" s="1193"/>
      <c r="AE142" s="1193"/>
      <c r="AF142" s="1193"/>
      <c r="AV142" s="1193"/>
      <c r="AW142" s="1193"/>
      <c r="AX142" s="1193"/>
      <c r="AY142" s="1193"/>
      <c r="AZ142" s="1193"/>
      <c r="BA142" s="1193"/>
      <c r="BC142" s="1193"/>
      <c r="BE142" s="1193"/>
      <c r="BF142" s="1193"/>
      <c r="BG142" s="1193"/>
    </row>
    <row r="143" spans="18:59" x14ac:dyDescent="0.35">
      <c r="R143" s="1193"/>
      <c r="S143" s="1193"/>
      <c r="W143" s="1193"/>
      <c r="X143" s="1193"/>
      <c r="AE143" s="1193"/>
      <c r="AF143" s="1193"/>
      <c r="AV143" s="1193"/>
      <c r="AW143" s="1193"/>
      <c r="AX143" s="1193"/>
      <c r="AY143" s="1193"/>
      <c r="AZ143" s="1193"/>
      <c r="BA143" s="1193"/>
      <c r="BC143" s="1193"/>
      <c r="BE143" s="1193"/>
      <c r="BF143" s="1193"/>
      <c r="BG143" s="1193"/>
    </row>
    <row r="144" spans="18:59" x14ac:dyDescent="0.35">
      <c r="R144" s="1193"/>
      <c r="S144" s="1193"/>
      <c r="W144" s="1193"/>
      <c r="X144" s="1193"/>
      <c r="AE144" s="1193"/>
      <c r="AF144" s="1193"/>
      <c r="AV144" s="1193"/>
      <c r="AW144" s="1193"/>
      <c r="AX144" s="1193"/>
      <c r="AY144" s="1193"/>
      <c r="AZ144" s="1193"/>
      <c r="BA144" s="1193"/>
      <c r="BC144" s="1193"/>
      <c r="BE144" s="1193"/>
      <c r="BF144" s="1193"/>
      <c r="BG144" s="1193"/>
    </row>
    <row r="145" spans="18:59" x14ac:dyDescent="0.35">
      <c r="R145" s="1193"/>
      <c r="S145" s="1193"/>
      <c r="W145" s="1193"/>
      <c r="X145" s="1193"/>
      <c r="AE145" s="1193"/>
      <c r="AF145" s="1193"/>
      <c r="AV145" s="1193"/>
      <c r="AW145" s="1193"/>
      <c r="AX145" s="1193"/>
      <c r="AY145" s="1193"/>
      <c r="AZ145" s="1193"/>
      <c r="BA145" s="1193"/>
      <c r="BC145" s="1193"/>
      <c r="BE145" s="1193"/>
      <c r="BF145" s="1193"/>
      <c r="BG145" s="1193"/>
    </row>
    <row r="146" spans="18:59" x14ac:dyDescent="0.35">
      <c r="R146" s="1193"/>
      <c r="S146" s="1193"/>
      <c r="W146" s="1193"/>
      <c r="X146" s="1193"/>
      <c r="AE146" s="1193"/>
      <c r="AF146" s="1193"/>
      <c r="AV146" s="1193"/>
      <c r="AW146" s="1193"/>
      <c r="AX146" s="1193"/>
      <c r="AY146" s="1193"/>
      <c r="AZ146" s="1193"/>
      <c r="BA146" s="1193"/>
      <c r="BC146" s="1193"/>
      <c r="BE146" s="1193"/>
      <c r="BF146" s="1193"/>
      <c r="BG146" s="1193"/>
    </row>
    <row r="147" spans="18:59" x14ac:dyDescent="0.35">
      <c r="R147" s="1193"/>
      <c r="S147" s="1193"/>
      <c r="W147" s="1193"/>
      <c r="X147" s="1193"/>
      <c r="AE147" s="1193"/>
      <c r="AF147" s="1193"/>
      <c r="AV147" s="1193"/>
      <c r="AW147" s="1193"/>
      <c r="AX147" s="1193"/>
      <c r="AY147" s="1193"/>
      <c r="AZ147" s="1193"/>
      <c r="BA147" s="1193"/>
      <c r="BC147" s="1193"/>
      <c r="BE147" s="1193"/>
      <c r="BF147" s="1193"/>
      <c r="BG147" s="1193"/>
    </row>
    <row r="148" spans="18:59" x14ac:dyDescent="0.35">
      <c r="R148" s="1193"/>
      <c r="S148" s="1193"/>
      <c r="W148" s="1193"/>
      <c r="X148" s="1193"/>
      <c r="AE148" s="1193"/>
      <c r="AF148" s="1193"/>
      <c r="AV148" s="1193"/>
      <c r="AW148" s="1193"/>
      <c r="AX148" s="1193"/>
      <c r="AY148" s="1193"/>
      <c r="AZ148" s="1193"/>
      <c r="BA148" s="1193"/>
      <c r="BC148" s="1193"/>
      <c r="BE148" s="1193"/>
      <c r="BF148" s="1193"/>
      <c r="BG148" s="1193"/>
    </row>
    <row r="149" spans="18:59" x14ac:dyDescent="0.35">
      <c r="R149" s="1193"/>
      <c r="S149" s="1193"/>
      <c r="W149" s="1193"/>
      <c r="X149" s="1193"/>
      <c r="AE149" s="1193"/>
      <c r="AF149" s="1193"/>
      <c r="AV149" s="1193"/>
      <c r="AW149" s="1193"/>
      <c r="AX149" s="1193"/>
      <c r="AY149" s="1193"/>
      <c r="AZ149" s="1193"/>
      <c r="BA149" s="1193"/>
      <c r="BC149" s="1193"/>
      <c r="BE149" s="1193"/>
      <c r="BF149" s="1193"/>
      <c r="BG149" s="1193"/>
    </row>
    <row r="150" spans="18:59" x14ac:dyDescent="0.35">
      <c r="R150" s="1193"/>
      <c r="S150" s="1193"/>
      <c r="W150" s="1193"/>
      <c r="X150" s="1193"/>
      <c r="AE150" s="1193"/>
      <c r="AF150" s="1193"/>
      <c r="AV150" s="1193"/>
      <c r="AW150" s="1193"/>
      <c r="AX150" s="1193"/>
      <c r="AY150" s="1193"/>
      <c r="AZ150" s="1193"/>
      <c r="BA150" s="1193"/>
      <c r="BC150" s="1193"/>
      <c r="BE150" s="1193"/>
      <c r="BF150" s="1193"/>
      <c r="BG150" s="1193"/>
    </row>
    <row r="151" spans="18:59" x14ac:dyDescent="0.35">
      <c r="R151" s="1193"/>
      <c r="S151" s="1193"/>
      <c r="W151" s="1193"/>
      <c r="X151" s="1193"/>
      <c r="AE151" s="1193"/>
      <c r="AF151" s="1193"/>
      <c r="AV151" s="1193"/>
      <c r="AW151" s="1193"/>
      <c r="AX151" s="1193"/>
      <c r="AY151" s="1193"/>
      <c r="AZ151" s="1193"/>
      <c r="BA151" s="1193"/>
      <c r="BC151" s="1193"/>
      <c r="BE151" s="1193"/>
      <c r="BF151" s="1193"/>
      <c r="BG151" s="1193"/>
    </row>
    <row r="152" spans="18:59" x14ac:dyDescent="0.35">
      <c r="R152" s="1193"/>
      <c r="S152" s="1193"/>
      <c r="W152" s="1193"/>
      <c r="X152" s="1193"/>
      <c r="AE152" s="1193"/>
      <c r="AF152" s="1193"/>
      <c r="AV152" s="1193"/>
      <c r="AW152" s="1193"/>
      <c r="AX152" s="1193"/>
      <c r="AY152" s="1193"/>
      <c r="AZ152" s="1193"/>
      <c r="BA152" s="1193"/>
      <c r="BC152" s="1193"/>
      <c r="BE152" s="1193"/>
      <c r="BF152" s="1193"/>
      <c r="BG152" s="1193"/>
    </row>
    <row r="153" spans="18:59" x14ac:dyDescent="0.35">
      <c r="R153" s="1193"/>
      <c r="S153" s="1193"/>
      <c r="W153" s="1193"/>
      <c r="X153" s="1193"/>
      <c r="AE153" s="1193"/>
      <c r="AF153" s="1193"/>
      <c r="AV153" s="1193"/>
      <c r="AW153" s="1193"/>
      <c r="AX153" s="1193"/>
      <c r="AY153" s="1193"/>
      <c r="AZ153" s="1193"/>
      <c r="BA153" s="1193"/>
      <c r="BC153" s="1193"/>
      <c r="BE153" s="1193"/>
      <c r="BF153" s="1193"/>
      <c r="BG153" s="1193"/>
    </row>
    <row r="154" spans="18:59" x14ac:dyDescent="0.35">
      <c r="R154" s="1193"/>
      <c r="S154" s="1193"/>
      <c r="W154" s="1193"/>
      <c r="X154" s="1193"/>
      <c r="AE154" s="1193"/>
      <c r="AF154" s="1193"/>
      <c r="AV154" s="1193"/>
      <c r="AW154" s="1193"/>
      <c r="AX154" s="1193"/>
      <c r="AY154" s="1193"/>
      <c r="AZ154" s="1193"/>
      <c r="BA154" s="1193"/>
      <c r="BC154" s="1193"/>
      <c r="BE154" s="1193"/>
      <c r="BF154" s="1193"/>
      <c r="BG154" s="1193"/>
    </row>
    <row r="155" spans="18:59" x14ac:dyDescent="0.35">
      <c r="R155" s="1193"/>
      <c r="S155" s="1193"/>
      <c r="W155" s="1193"/>
      <c r="X155" s="1193"/>
      <c r="AE155" s="1193"/>
      <c r="AF155" s="1193"/>
      <c r="AV155" s="1193"/>
      <c r="AW155" s="1193"/>
      <c r="AX155" s="1193"/>
      <c r="AY155" s="1193"/>
      <c r="AZ155" s="1193"/>
      <c r="BA155" s="1193"/>
      <c r="BC155" s="1193"/>
      <c r="BE155" s="1193"/>
      <c r="BF155" s="1193"/>
      <c r="BG155" s="1193"/>
    </row>
    <row r="156" spans="18:59" x14ac:dyDescent="0.35">
      <c r="R156" s="1193"/>
      <c r="S156" s="1193"/>
      <c r="W156" s="1193"/>
      <c r="X156" s="1193"/>
      <c r="AE156" s="1193"/>
      <c r="AF156" s="1193"/>
      <c r="AV156" s="1193"/>
      <c r="AW156" s="1193"/>
      <c r="AX156" s="1193"/>
      <c r="AY156" s="1193"/>
      <c r="AZ156" s="1193"/>
      <c r="BA156" s="1193"/>
      <c r="BC156" s="1193"/>
      <c r="BE156" s="1193"/>
      <c r="BF156" s="1193"/>
      <c r="BG156" s="1193"/>
    </row>
    <row r="157" spans="18:59" x14ac:dyDescent="0.35">
      <c r="R157" s="1193"/>
      <c r="S157" s="1193"/>
      <c r="W157" s="1193"/>
      <c r="X157" s="1193"/>
      <c r="AE157" s="1193"/>
      <c r="AF157" s="1193"/>
      <c r="AV157" s="1193"/>
      <c r="AW157" s="1193"/>
      <c r="AX157" s="1193"/>
      <c r="AY157" s="1193"/>
      <c r="AZ157" s="1193"/>
      <c r="BA157" s="1193"/>
      <c r="BC157" s="1193"/>
      <c r="BE157" s="1193"/>
      <c r="BF157" s="1193"/>
      <c r="BG157" s="1193"/>
    </row>
    <row r="158" spans="18:59" x14ac:dyDescent="0.35">
      <c r="R158" s="1193"/>
      <c r="S158" s="1193"/>
      <c r="W158" s="1193"/>
      <c r="X158" s="1193"/>
      <c r="AE158" s="1193"/>
      <c r="AF158" s="1193"/>
      <c r="AV158" s="1193"/>
      <c r="AW158" s="1193"/>
      <c r="AX158" s="1193"/>
      <c r="AY158" s="1193"/>
      <c r="AZ158" s="1193"/>
      <c r="BA158" s="1193"/>
      <c r="BC158" s="1193"/>
      <c r="BE158" s="1193"/>
      <c r="BF158" s="1193"/>
      <c r="BG158" s="1193"/>
    </row>
    <row r="159" spans="18:59" x14ac:dyDescent="0.35">
      <c r="R159" s="1193"/>
      <c r="S159" s="1193"/>
      <c r="W159" s="1193"/>
      <c r="X159" s="1193"/>
      <c r="AE159" s="1193"/>
      <c r="AF159" s="1193"/>
      <c r="AV159" s="1193"/>
      <c r="AW159" s="1193"/>
      <c r="AX159" s="1193"/>
      <c r="AY159" s="1193"/>
      <c r="AZ159" s="1193"/>
      <c r="BA159" s="1193"/>
      <c r="BC159" s="1193"/>
      <c r="BE159" s="1193"/>
      <c r="BF159" s="1193"/>
      <c r="BG159" s="1193"/>
    </row>
    <row r="160" spans="18:59" x14ac:dyDescent="0.35">
      <c r="R160" s="1193"/>
      <c r="S160" s="1193"/>
      <c r="W160" s="1193"/>
      <c r="X160" s="1193"/>
      <c r="AE160" s="1193"/>
      <c r="AF160" s="1193"/>
      <c r="AV160" s="1193"/>
      <c r="AW160" s="1193"/>
      <c r="AX160" s="1193"/>
      <c r="AY160" s="1193"/>
      <c r="AZ160" s="1193"/>
      <c r="BA160" s="1193"/>
      <c r="BC160" s="1193"/>
      <c r="BE160" s="1193"/>
      <c r="BF160" s="1193"/>
      <c r="BG160" s="1193"/>
    </row>
    <row r="161" spans="18:59" x14ac:dyDescent="0.35">
      <c r="R161" s="1193"/>
      <c r="S161" s="1193"/>
      <c r="W161" s="1193"/>
      <c r="X161" s="1193"/>
      <c r="AE161" s="1193"/>
      <c r="AF161" s="1193"/>
      <c r="AV161" s="1193"/>
      <c r="AW161" s="1193"/>
      <c r="AX161" s="1193"/>
      <c r="AY161" s="1193"/>
      <c r="AZ161" s="1193"/>
      <c r="BA161" s="1193"/>
      <c r="BC161" s="1193"/>
      <c r="BE161" s="1193"/>
      <c r="BF161" s="1193"/>
      <c r="BG161" s="1193"/>
    </row>
    <row r="162" spans="18:59" x14ac:dyDescent="0.35">
      <c r="R162" s="1193"/>
      <c r="S162" s="1193"/>
      <c r="W162" s="1193"/>
      <c r="X162" s="1193"/>
      <c r="AE162" s="1193"/>
      <c r="AF162" s="1193"/>
      <c r="AV162" s="1193"/>
      <c r="AW162" s="1193"/>
      <c r="AX162" s="1193"/>
      <c r="AY162" s="1193"/>
      <c r="AZ162" s="1193"/>
      <c r="BA162" s="1193"/>
      <c r="BC162" s="1193"/>
      <c r="BE162" s="1193"/>
      <c r="BF162" s="1193"/>
      <c r="BG162" s="1193"/>
    </row>
    <row r="163" spans="18:59" x14ac:dyDescent="0.35">
      <c r="R163" s="1193"/>
      <c r="S163" s="1193"/>
      <c r="W163" s="1193"/>
      <c r="X163" s="1193"/>
      <c r="AE163" s="1193"/>
      <c r="AF163" s="1193"/>
      <c r="AV163" s="1193"/>
      <c r="AW163" s="1193"/>
      <c r="AX163" s="1193"/>
      <c r="AY163" s="1193"/>
      <c r="AZ163" s="1193"/>
      <c r="BA163" s="1193"/>
      <c r="BC163" s="1193"/>
      <c r="BE163" s="1193"/>
      <c r="BF163" s="1193"/>
      <c r="BG163" s="1193"/>
    </row>
    <row r="164" spans="18:59" x14ac:dyDescent="0.35">
      <c r="R164" s="1193"/>
      <c r="S164" s="1193"/>
      <c r="W164" s="1193"/>
      <c r="X164" s="1193"/>
      <c r="AE164" s="1193"/>
      <c r="AF164" s="1193"/>
      <c r="AV164" s="1193"/>
      <c r="AW164" s="1193"/>
      <c r="AX164" s="1193"/>
      <c r="AY164" s="1193"/>
      <c r="AZ164" s="1193"/>
      <c r="BA164" s="1193"/>
      <c r="BC164" s="1193"/>
      <c r="BE164" s="1193"/>
      <c r="BF164" s="1193"/>
      <c r="BG164" s="1193"/>
    </row>
    <row r="165" spans="18:59" x14ac:dyDescent="0.35">
      <c r="R165" s="1193"/>
      <c r="S165" s="1193"/>
      <c r="W165" s="1193"/>
      <c r="X165" s="1193"/>
      <c r="AE165" s="1193"/>
      <c r="AF165" s="1193"/>
      <c r="AV165" s="1193"/>
      <c r="AW165" s="1193"/>
      <c r="AX165" s="1193"/>
      <c r="AY165" s="1193"/>
      <c r="AZ165" s="1193"/>
      <c r="BA165" s="1193"/>
      <c r="BC165" s="1193"/>
      <c r="BE165" s="1193"/>
      <c r="BF165" s="1193"/>
      <c r="BG165" s="1193"/>
    </row>
    <row r="166" spans="18:59" x14ac:dyDescent="0.35">
      <c r="R166" s="1193"/>
      <c r="S166" s="1193"/>
      <c r="W166" s="1193"/>
      <c r="X166" s="1193"/>
      <c r="AE166" s="1193"/>
      <c r="AF166" s="1193"/>
      <c r="AV166" s="1193"/>
      <c r="AW166" s="1193"/>
      <c r="AX166" s="1193"/>
      <c r="AY166" s="1193"/>
      <c r="AZ166" s="1193"/>
      <c r="BA166" s="1193"/>
      <c r="BC166" s="1193"/>
      <c r="BE166" s="1193"/>
      <c r="BF166" s="1193"/>
      <c r="BG166" s="1193"/>
    </row>
    <row r="167" spans="18:59" x14ac:dyDescent="0.35">
      <c r="R167" s="1193"/>
      <c r="S167" s="1193"/>
      <c r="W167" s="1193"/>
      <c r="X167" s="1193"/>
      <c r="AE167" s="1193"/>
      <c r="AF167" s="1193"/>
      <c r="AV167" s="1193"/>
      <c r="AW167" s="1193"/>
      <c r="AX167" s="1193"/>
      <c r="AY167" s="1193"/>
      <c r="AZ167" s="1193"/>
      <c r="BA167" s="1193"/>
      <c r="BC167" s="1193"/>
      <c r="BE167" s="1193"/>
      <c r="BF167" s="1193"/>
      <c r="BG167" s="1193"/>
    </row>
    <row r="168" spans="18:59" x14ac:dyDescent="0.35">
      <c r="R168" s="1193"/>
      <c r="S168" s="1193"/>
      <c r="W168" s="1193"/>
      <c r="X168" s="1193"/>
      <c r="AE168" s="1193"/>
      <c r="AF168" s="1193"/>
      <c r="AV168" s="1193"/>
      <c r="AW168" s="1193"/>
      <c r="AX168" s="1193"/>
      <c r="AY168" s="1193"/>
      <c r="AZ168" s="1193"/>
      <c r="BA168" s="1193"/>
      <c r="BC168" s="1193"/>
      <c r="BE168" s="1193"/>
      <c r="BF168" s="1193"/>
      <c r="BG168" s="1193"/>
    </row>
    <row r="169" spans="18:59" x14ac:dyDescent="0.35">
      <c r="R169" s="1193"/>
      <c r="S169" s="1193"/>
      <c r="W169" s="1193"/>
      <c r="X169" s="1193"/>
      <c r="AE169" s="1193"/>
      <c r="AF169" s="1193"/>
      <c r="AV169" s="1193"/>
      <c r="AW169" s="1193"/>
      <c r="AX169" s="1193"/>
      <c r="AY169" s="1193"/>
      <c r="AZ169" s="1193"/>
      <c r="BA169" s="1193"/>
      <c r="BC169" s="1193"/>
      <c r="BE169" s="1193"/>
      <c r="BF169" s="1193"/>
      <c r="BG169" s="1193"/>
    </row>
    <row r="170" spans="18:59" x14ac:dyDescent="0.35">
      <c r="R170" s="1193"/>
      <c r="S170" s="1193"/>
      <c r="W170" s="1193"/>
      <c r="X170" s="1193"/>
      <c r="AE170" s="1193"/>
      <c r="AF170" s="1193"/>
      <c r="AV170" s="1193"/>
      <c r="AW170" s="1193"/>
      <c r="AX170" s="1193"/>
      <c r="AY170" s="1193"/>
      <c r="AZ170" s="1193"/>
      <c r="BA170" s="1193"/>
      <c r="BC170" s="1193"/>
      <c r="BE170" s="1193"/>
      <c r="BF170" s="1193"/>
      <c r="BG170" s="1193"/>
    </row>
    <row r="171" spans="18:59" x14ac:dyDescent="0.35">
      <c r="R171" s="1193"/>
      <c r="S171" s="1193"/>
      <c r="W171" s="1193"/>
      <c r="X171" s="1193"/>
      <c r="AE171" s="1193"/>
      <c r="AF171" s="1193"/>
      <c r="AV171" s="1193"/>
      <c r="AW171" s="1193"/>
      <c r="AX171" s="1193"/>
      <c r="AY171" s="1193"/>
      <c r="AZ171" s="1193"/>
      <c r="BA171" s="1193"/>
      <c r="BC171" s="1193"/>
      <c r="BE171" s="1193"/>
      <c r="BF171" s="1193"/>
      <c r="BG171" s="1193"/>
    </row>
    <row r="172" spans="18:59" x14ac:dyDescent="0.35">
      <c r="R172" s="1193"/>
      <c r="S172" s="1193"/>
      <c r="W172" s="1193"/>
      <c r="X172" s="1193"/>
      <c r="AE172" s="1193"/>
      <c r="AF172" s="1193"/>
      <c r="AV172" s="1193"/>
      <c r="AW172" s="1193"/>
      <c r="AX172" s="1193"/>
      <c r="AY172" s="1193"/>
      <c r="AZ172" s="1193"/>
      <c r="BA172" s="1193"/>
      <c r="BC172" s="1193"/>
      <c r="BE172" s="1193"/>
      <c r="BF172" s="1193"/>
      <c r="BG172" s="1193"/>
    </row>
    <row r="173" spans="18:59" x14ac:dyDescent="0.35">
      <c r="R173" s="1193"/>
      <c r="S173" s="1193"/>
      <c r="W173" s="1193"/>
      <c r="X173" s="1193"/>
      <c r="AE173" s="1193"/>
      <c r="AF173" s="1193"/>
      <c r="AV173" s="1193"/>
      <c r="AW173" s="1193"/>
      <c r="AX173" s="1193"/>
      <c r="AY173" s="1193"/>
      <c r="AZ173" s="1193"/>
      <c r="BA173" s="1193"/>
      <c r="BC173" s="1193"/>
      <c r="BE173" s="1193"/>
      <c r="BF173" s="1193"/>
      <c r="BG173" s="1193"/>
    </row>
    <row r="174" spans="18:59" x14ac:dyDescent="0.35">
      <c r="R174" s="1193"/>
      <c r="S174" s="1193"/>
      <c r="W174" s="1193"/>
      <c r="X174" s="1193"/>
      <c r="AE174" s="1193"/>
      <c r="AF174" s="1193"/>
      <c r="AV174" s="1193"/>
      <c r="AW174" s="1193"/>
      <c r="AX174" s="1193"/>
      <c r="AY174" s="1193"/>
      <c r="AZ174" s="1193"/>
      <c r="BA174" s="1193"/>
      <c r="BC174" s="1193"/>
      <c r="BE174" s="1193"/>
      <c r="BF174" s="1193"/>
      <c r="BG174" s="1193"/>
    </row>
    <row r="175" spans="18:59" x14ac:dyDescent="0.35">
      <c r="R175" s="1193"/>
      <c r="S175" s="1193"/>
      <c r="W175" s="1193"/>
      <c r="X175" s="1193"/>
      <c r="AE175" s="1193"/>
      <c r="AF175" s="1193"/>
      <c r="AV175" s="1193"/>
      <c r="AW175" s="1193"/>
      <c r="AX175" s="1193"/>
      <c r="AY175" s="1193"/>
      <c r="AZ175" s="1193"/>
      <c r="BA175" s="1193"/>
      <c r="BC175" s="1193"/>
      <c r="BE175" s="1193"/>
      <c r="BF175" s="1193"/>
      <c r="BG175" s="1193"/>
    </row>
    <row r="176" spans="18:59" x14ac:dyDescent="0.35">
      <c r="R176" s="1193"/>
      <c r="S176" s="1193"/>
      <c r="W176" s="1193"/>
      <c r="X176" s="1193"/>
      <c r="AE176" s="1193"/>
      <c r="AF176" s="1193"/>
      <c r="AV176" s="1193"/>
      <c r="AW176" s="1193"/>
      <c r="AX176" s="1193"/>
      <c r="AY176" s="1193"/>
      <c r="AZ176" s="1193"/>
      <c r="BA176" s="1193"/>
      <c r="BC176" s="1193"/>
      <c r="BE176" s="1193"/>
      <c r="BF176" s="1193"/>
      <c r="BG176" s="1193"/>
    </row>
    <row r="177" spans="18:59" x14ac:dyDescent="0.35">
      <c r="R177" s="1193"/>
      <c r="S177" s="1193"/>
      <c r="W177" s="1193"/>
      <c r="X177" s="1193"/>
      <c r="AE177" s="1193"/>
      <c r="AF177" s="1193"/>
      <c r="AV177" s="1193"/>
      <c r="AW177" s="1193"/>
      <c r="AX177" s="1193"/>
      <c r="AY177" s="1193"/>
      <c r="AZ177" s="1193"/>
      <c r="BA177" s="1193"/>
      <c r="BC177" s="1193"/>
      <c r="BE177" s="1193"/>
      <c r="BF177" s="1193"/>
      <c r="BG177" s="1193"/>
    </row>
    <row r="178" spans="18:59" x14ac:dyDescent="0.35">
      <c r="R178" s="1193"/>
      <c r="S178" s="1193"/>
      <c r="W178" s="1193"/>
      <c r="X178" s="1193"/>
      <c r="AE178" s="1193"/>
      <c r="AF178" s="1193"/>
      <c r="AV178" s="1193"/>
      <c r="AW178" s="1193"/>
      <c r="AX178" s="1193"/>
      <c r="AY178" s="1193"/>
      <c r="AZ178" s="1193"/>
      <c r="BA178" s="1193"/>
      <c r="BC178" s="1193"/>
      <c r="BE178" s="1193"/>
      <c r="BF178" s="1193"/>
      <c r="BG178" s="1193"/>
    </row>
    <row r="179" spans="18:59" x14ac:dyDescent="0.35">
      <c r="R179" s="1193"/>
      <c r="S179" s="1193"/>
      <c r="W179" s="1193"/>
      <c r="X179" s="1193"/>
      <c r="AE179" s="1193"/>
      <c r="AF179" s="1193"/>
      <c r="AV179" s="1193"/>
      <c r="AW179" s="1193"/>
      <c r="AX179" s="1193"/>
      <c r="AY179" s="1193"/>
      <c r="AZ179" s="1193"/>
      <c r="BA179" s="1193"/>
      <c r="BC179" s="1193"/>
      <c r="BE179" s="1193"/>
      <c r="BF179" s="1193"/>
      <c r="BG179" s="1193"/>
    </row>
    <row r="180" spans="18:59" x14ac:dyDescent="0.35">
      <c r="R180" s="1193"/>
      <c r="S180" s="1193"/>
      <c r="W180" s="1193"/>
      <c r="X180" s="1193"/>
      <c r="AE180" s="1193"/>
      <c r="AF180" s="1193"/>
      <c r="AV180" s="1193"/>
      <c r="AW180" s="1193"/>
      <c r="AX180" s="1193"/>
      <c r="AY180" s="1193"/>
      <c r="AZ180" s="1193"/>
      <c r="BA180" s="1193"/>
      <c r="BC180" s="1193"/>
      <c r="BE180" s="1193"/>
      <c r="BF180" s="1193"/>
      <c r="BG180" s="1193"/>
    </row>
    <row r="181" spans="18:59" x14ac:dyDescent="0.35">
      <c r="R181" s="1193"/>
      <c r="S181" s="1193"/>
      <c r="W181" s="1193"/>
      <c r="X181" s="1193"/>
      <c r="AE181" s="1193"/>
      <c r="AF181" s="1193"/>
      <c r="AV181" s="1193"/>
      <c r="AW181" s="1193"/>
      <c r="AX181" s="1193"/>
      <c r="AY181" s="1193"/>
      <c r="AZ181" s="1193"/>
      <c r="BA181" s="1193"/>
      <c r="BC181" s="1193"/>
      <c r="BE181" s="1193"/>
      <c r="BF181" s="1193"/>
      <c r="BG181" s="1193"/>
    </row>
    <row r="182" spans="18:59" x14ac:dyDescent="0.35">
      <c r="R182" s="1193"/>
      <c r="S182" s="1193"/>
      <c r="W182" s="1193"/>
      <c r="X182" s="1193"/>
      <c r="AE182" s="1193"/>
      <c r="AF182" s="1193"/>
      <c r="AV182" s="1193"/>
      <c r="AW182" s="1193"/>
      <c r="AX182" s="1193"/>
      <c r="AY182" s="1193"/>
      <c r="AZ182" s="1193"/>
      <c r="BA182" s="1193"/>
      <c r="BC182" s="1193"/>
      <c r="BE182" s="1193"/>
      <c r="BF182" s="1193"/>
      <c r="BG182" s="1193"/>
    </row>
    <row r="183" spans="18:59" x14ac:dyDescent="0.35">
      <c r="R183" s="1193"/>
      <c r="S183" s="1193"/>
      <c r="W183" s="1193"/>
      <c r="X183" s="1193"/>
      <c r="AE183" s="1193"/>
      <c r="AF183" s="1193"/>
      <c r="AV183" s="1193"/>
      <c r="AW183" s="1193"/>
      <c r="AX183" s="1193"/>
      <c r="AY183" s="1193"/>
      <c r="AZ183" s="1193"/>
      <c r="BA183" s="1193"/>
      <c r="BC183" s="1193"/>
      <c r="BE183" s="1193"/>
      <c r="BF183" s="1193"/>
      <c r="BG183" s="1193"/>
    </row>
    <row r="184" spans="18:59" x14ac:dyDescent="0.35">
      <c r="R184" s="1193"/>
      <c r="S184" s="1193"/>
      <c r="W184" s="1193"/>
      <c r="X184" s="1193"/>
      <c r="AE184" s="1193"/>
      <c r="AF184" s="1193"/>
      <c r="AV184" s="1193"/>
      <c r="AW184" s="1193"/>
      <c r="AX184" s="1193"/>
      <c r="AY184" s="1193"/>
      <c r="AZ184" s="1193"/>
      <c r="BA184" s="1193"/>
      <c r="BC184" s="1193"/>
      <c r="BE184" s="1193"/>
      <c r="BF184" s="1193"/>
      <c r="BG184" s="1193"/>
    </row>
    <row r="185" spans="18:59" x14ac:dyDescent="0.35">
      <c r="R185" s="1193"/>
      <c r="S185" s="1193"/>
      <c r="W185" s="1193"/>
      <c r="X185" s="1193"/>
      <c r="AE185" s="1193"/>
      <c r="AF185" s="1193"/>
      <c r="AV185" s="1193"/>
      <c r="AW185" s="1193"/>
      <c r="AX185" s="1193"/>
      <c r="AY185" s="1193"/>
      <c r="AZ185" s="1193"/>
      <c r="BA185" s="1193"/>
      <c r="BC185" s="1193"/>
      <c r="BE185" s="1193"/>
      <c r="BF185" s="1193"/>
      <c r="BG185" s="1193"/>
    </row>
    <row r="186" spans="18:59" x14ac:dyDescent="0.35">
      <c r="R186" s="1193"/>
      <c r="S186" s="1193"/>
      <c r="W186" s="1193"/>
      <c r="X186" s="1193"/>
      <c r="AE186" s="1193"/>
      <c r="AF186" s="1193"/>
      <c r="AV186" s="1193"/>
      <c r="AW186" s="1193"/>
      <c r="AX186" s="1193"/>
      <c r="AY186" s="1193"/>
      <c r="AZ186" s="1193"/>
      <c r="BA186" s="1193"/>
      <c r="BC186" s="1193"/>
      <c r="BE186" s="1193"/>
      <c r="BF186" s="1193"/>
      <c r="BG186" s="1193"/>
    </row>
    <row r="187" spans="18:59" x14ac:dyDescent="0.35">
      <c r="R187" s="1193"/>
      <c r="S187" s="1193"/>
      <c r="W187" s="1193"/>
      <c r="X187" s="1193"/>
      <c r="AE187" s="1193"/>
      <c r="AF187" s="1193"/>
      <c r="AV187" s="1193"/>
      <c r="AW187" s="1193"/>
      <c r="AX187" s="1193"/>
      <c r="AY187" s="1193"/>
      <c r="AZ187" s="1193"/>
      <c r="BA187" s="1193"/>
      <c r="BC187" s="1193"/>
      <c r="BE187" s="1193"/>
      <c r="BF187" s="1193"/>
      <c r="BG187" s="1193"/>
    </row>
    <row r="188" spans="18:59" x14ac:dyDescent="0.35">
      <c r="R188" s="1193"/>
      <c r="S188" s="1193"/>
      <c r="W188" s="1193"/>
      <c r="X188" s="1193"/>
      <c r="AE188" s="1193"/>
      <c r="AF188" s="1193"/>
      <c r="AV188" s="1193"/>
      <c r="AW188" s="1193"/>
      <c r="AX188" s="1193"/>
      <c r="AY188" s="1193"/>
      <c r="AZ188" s="1193"/>
      <c r="BA188" s="1193"/>
      <c r="BC188" s="1193"/>
      <c r="BE188" s="1193"/>
      <c r="BF188" s="1193"/>
      <c r="BG188" s="1193"/>
    </row>
    <row r="189" spans="18:59" x14ac:dyDescent="0.35">
      <c r="R189" s="1193"/>
      <c r="S189" s="1193"/>
      <c r="W189" s="1193"/>
      <c r="X189" s="1193"/>
      <c r="AE189" s="1193"/>
      <c r="AF189" s="1193"/>
      <c r="AV189" s="1193"/>
      <c r="AW189" s="1193"/>
      <c r="AX189" s="1193"/>
      <c r="AY189" s="1193"/>
      <c r="AZ189" s="1193"/>
      <c r="BA189" s="1193"/>
      <c r="BC189" s="1193"/>
      <c r="BE189" s="1193"/>
      <c r="BF189" s="1193"/>
      <c r="BG189" s="1193"/>
    </row>
    <row r="190" spans="18:59" x14ac:dyDescent="0.35">
      <c r="R190" s="1193"/>
      <c r="S190" s="1193"/>
      <c r="W190" s="1193"/>
      <c r="X190" s="1193"/>
      <c r="AE190" s="1193"/>
      <c r="AF190" s="1193"/>
      <c r="AV190" s="1193"/>
      <c r="AW190" s="1193"/>
      <c r="AX190" s="1193"/>
      <c r="AY190" s="1193"/>
      <c r="AZ190" s="1193"/>
      <c r="BA190" s="1193"/>
      <c r="BC190" s="1193"/>
      <c r="BE190" s="1193"/>
      <c r="BF190" s="1193"/>
      <c r="BG190" s="1193"/>
    </row>
    <row r="191" spans="18:59" x14ac:dyDescent="0.35">
      <c r="R191" s="1193"/>
      <c r="S191" s="1193"/>
      <c r="W191" s="1193"/>
      <c r="X191" s="1193"/>
      <c r="AE191" s="1193"/>
      <c r="AF191" s="1193"/>
      <c r="AV191" s="1193"/>
      <c r="AW191" s="1193"/>
      <c r="AX191" s="1193"/>
      <c r="AY191" s="1193"/>
      <c r="AZ191" s="1193"/>
      <c r="BA191" s="1193"/>
      <c r="BC191" s="1193"/>
      <c r="BE191" s="1193"/>
      <c r="BF191" s="1193"/>
      <c r="BG191" s="1193"/>
    </row>
    <row r="192" spans="18:59" x14ac:dyDescent="0.35">
      <c r="R192" s="1193"/>
      <c r="S192" s="1193"/>
      <c r="W192" s="1193"/>
      <c r="X192" s="1193"/>
      <c r="AE192" s="1193"/>
      <c r="AF192" s="1193"/>
      <c r="AV192" s="1193"/>
      <c r="AW192" s="1193"/>
      <c r="AX192" s="1193"/>
      <c r="AY192" s="1193"/>
      <c r="AZ192" s="1193"/>
      <c r="BA192" s="1193"/>
      <c r="BC192" s="1193"/>
      <c r="BE192" s="1193"/>
      <c r="BF192" s="1193"/>
      <c r="BG192" s="1193"/>
    </row>
    <row r="193" spans="18:59" x14ac:dyDescent="0.35">
      <c r="R193" s="1193"/>
      <c r="S193" s="1193"/>
      <c r="W193" s="1193"/>
      <c r="X193" s="1193"/>
      <c r="AE193" s="1193"/>
      <c r="AF193" s="1193"/>
      <c r="AV193" s="1193"/>
      <c r="AW193" s="1193"/>
      <c r="AX193" s="1193"/>
      <c r="AY193" s="1193"/>
      <c r="AZ193" s="1193"/>
      <c r="BA193" s="1193"/>
      <c r="BC193" s="1193"/>
      <c r="BE193" s="1193"/>
      <c r="BF193" s="1193"/>
      <c r="BG193" s="1193"/>
    </row>
    <row r="194" spans="18:59" x14ac:dyDescent="0.35">
      <c r="R194" s="1193"/>
      <c r="S194" s="1193"/>
      <c r="W194" s="1193"/>
      <c r="X194" s="1193"/>
      <c r="AE194" s="1193"/>
      <c r="AF194" s="1193"/>
      <c r="AV194" s="1193"/>
      <c r="AW194" s="1193"/>
      <c r="AX194" s="1193"/>
      <c r="AY194" s="1193"/>
      <c r="AZ194" s="1193"/>
      <c r="BA194" s="1193"/>
      <c r="BC194" s="1193"/>
      <c r="BE194" s="1193"/>
      <c r="BF194" s="1193"/>
      <c r="BG194" s="1193"/>
    </row>
    <row r="195" spans="18:59" x14ac:dyDescent="0.35">
      <c r="R195" s="1193"/>
      <c r="S195" s="1193"/>
      <c r="W195" s="1193"/>
      <c r="X195" s="1193"/>
      <c r="AE195" s="1193"/>
      <c r="AF195" s="1193"/>
      <c r="AV195" s="1193"/>
      <c r="AW195" s="1193"/>
      <c r="AX195" s="1193"/>
      <c r="AY195" s="1193"/>
      <c r="AZ195" s="1193"/>
      <c r="BA195" s="1193"/>
      <c r="BC195" s="1193"/>
      <c r="BE195" s="1193"/>
      <c r="BF195" s="1193"/>
      <c r="BG195" s="1193"/>
    </row>
    <row r="196" spans="18:59" x14ac:dyDescent="0.35">
      <c r="R196" s="1193"/>
      <c r="S196" s="1193"/>
      <c r="W196" s="1193"/>
      <c r="X196" s="1193"/>
      <c r="AE196" s="1193"/>
      <c r="AF196" s="1193"/>
      <c r="AV196" s="1193"/>
      <c r="AW196" s="1193"/>
      <c r="AX196" s="1193"/>
      <c r="AY196" s="1193"/>
      <c r="AZ196" s="1193"/>
      <c r="BA196" s="1193"/>
      <c r="BC196" s="1193"/>
      <c r="BE196" s="1193"/>
      <c r="BF196" s="1193"/>
      <c r="BG196" s="1193"/>
    </row>
    <row r="197" spans="18:59" x14ac:dyDescent="0.35">
      <c r="R197" s="1193"/>
      <c r="S197" s="1193"/>
      <c r="W197" s="1193"/>
      <c r="X197" s="1193"/>
      <c r="AE197" s="1193"/>
      <c r="AF197" s="1193"/>
      <c r="AV197" s="1193"/>
      <c r="AW197" s="1193"/>
      <c r="AX197" s="1193"/>
      <c r="AY197" s="1193"/>
      <c r="AZ197" s="1193"/>
      <c r="BA197" s="1193"/>
      <c r="BC197" s="1193"/>
      <c r="BE197" s="1193"/>
      <c r="BF197" s="1193"/>
      <c r="BG197" s="1193"/>
    </row>
    <row r="198" spans="18:59" x14ac:dyDescent="0.35">
      <c r="R198" s="1193"/>
      <c r="S198" s="1193"/>
      <c r="W198" s="1193"/>
      <c r="X198" s="1193"/>
      <c r="AE198" s="1193"/>
      <c r="AF198" s="1193"/>
      <c r="AV198" s="1193"/>
      <c r="AW198" s="1193"/>
      <c r="AX198" s="1193"/>
      <c r="AY198" s="1193"/>
      <c r="AZ198" s="1193"/>
      <c r="BA198" s="1193"/>
      <c r="BC198" s="1193"/>
      <c r="BE198" s="1193"/>
      <c r="BF198" s="1193"/>
      <c r="BG198" s="1193"/>
    </row>
    <row r="199" spans="18:59" x14ac:dyDescent="0.35">
      <c r="R199" s="1193"/>
      <c r="S199" s="1193"/>
      <c r="W199" s="1193"/>
      <c r="X199" s="1193"/>
      <c r="AE199" s="1193"/>
      <c r="AF199" s="1193"/>
      <c r="AV199" s="1193"/>
      <c r="AW199" s="1193"/>
      <c r="AX199" s="1193"/>
      <c r="AY199" s="1193"/>
      <c r="AZ199" s="1193"/>
      <c r="BA199" s="1193"/>
      <c r="BC199" s="1193"/>
      <c r="BE199" s="1193"/>
      <c r="BF199" s="1193"/>
      <c r="BG199" s="1193"/>
    </row>
    <row r="200" spans="18:59" x14ac:dyDescent="0.35">
      <c r="R200" s="1193"/>
      <c r="S200" s="1193"/>
      <c r="W200" s="1193"/>
      <c r="X200" s="1193"/>
      <c r="AE200" s="1193"/>
      <c r="AF200" s="1193"/>
      <c r="AV200" s="1193"/>
      <c r="AW200" s="1193"/>
      <c r="AX200" s="1193"/>
      <c r="AY200" s="1193"/>
      <c r="AZ200" s="1193"/>
      <c r="BA200" s="1193"/>
      <c r="BC200" s="1193"/>
      <c r="BE200" s="1193"/>
      <c r="BF200" s="1193"/>
      <c r="BG200" s="1193"/>
    </row>
    <row r="201" spans="18:59" x14ac:dyDescent="0.35">
      <c r="R201" s="1193"/>
      <c r="S201" s="1193"/>
      <c r="W201" s="1193"/>
      <c r="X201" s="1193"/>
      <c r="AE201" s="1193"/>
      <c r="AF201" s="1193"/>
      <c r="AV201" s="1193"/>
      <c r="AW201" s="1193"/>
      <c r="AX201" s="1193"/>
      <c r="AY201" s="1193"/>
      <c r="AZ201" s="1193"/>
      <c r="BA201" s="1193"/>
      <c r="BC201" s="1193"/>
      <c r="BE201" s="1193"/>
      <c r="BF201" s="1193"/>
      <c r="BG201" s="1193"/>
    </row>
    <row r="202" spans="18:59" x14ac:dyDescent="0.35">
      <c r="R202" s="1193"/>
      <c r="S202" s="1193"/>
      <c r="W202" s="1193"/>
      <c r="X202" s="1193"/>
      <c r="AE202" s="1193"/>
      <c r="AF202" s="1193"/>
      <c r="AV202" s="1193"/>
      <c r="AW202" s="1193"/>
      <c r="AX202" s="1193"/>
      <c r="AY202" s="1193"/>
      <c r="AZ202" s="1193"/>
      <c r="BA202" s="1193"/>
      <c r="BC202" s="1193"/>
      <c r="BE202" s="1193"/>
      <c r="BF202" s="1193"/>
      <c r="BG202" s="1193"/>
    </row>
    <row r="203" spans="18:59" x14ac:dyDescent="0.35">
      <c r="R203" s="1193"/>
      <c r="S203" s="1193"/>
      <c r="W203" s="1193"/>
      <c r="X203" s="1193"/>
      <c r="AE203" s="1193"/>
      <c r="AF203" s="1193"/>
      <c r="AV203" s="1193"/>
      <c r="AW203" s="1193"/>
      <c r="AX203" s="1193"/>
      <c r="AY203" s="1193"/>
      <c r="AZ203" s="1193"/>
      <c r="BA203" s="1193"/>
      <c r="BC203" s="1193"/>
      <c r="BE203" s="1193"/>
      <c r="BF203" s="1193"/>
      <c r="BG203" s="1193"/>
    </row>
    <row r="204" spans="18:59" x14ac:dyDescent="0.35">
      <c r="R204" s="1193"/>
      <c r="S204" s="1193"/>
      <c r="W204" s="1193"/>
      <c r="X204" s="1193"/>
      <c r="AE204" s="1193"/>
      <c r="AF204" s="1193"/>
      <c r="AV204" s="1193"/>
      <c r="AW204" s="1193"/>
      <c r="AX204" s="1193"/>
      <c r="AY204" s="1193"/>
      <c r="AZ204" s="1193"/>
      <c r="BA204" s="1193"/>
      <c r="BC204" s="1193"/>
      <c r="BE204" s="1193"/>
      <c r="BF204" s="1193"/>
      <c r="BG204" s="1193"/>
    </row>
    <row r="205" spans="18:59" x14ac:dyDescent="0.35">
      <c r="R205" s="1193"/>
      <c r="S205" s="1193"/>
      <c r="W205" s="1193"/>
      <c r="X205" s="1193"/>
      <c r="AE205" s="1193"/>
      <c r="AF205" s="1193"/>
      <c r="AV205" s="1193"/>
      <c r="AW205" s="1193"/>
      <c r="AX205" s="1193"/>
      <c r="AY205" s="1193"/>
      <c r="AZ205" s="1193"/>
      <c r="BA205" s="1193"/>
      <c r="BC205" s="1193"/>
      <c r="BE205" s="1193"/>
      <c r="BF205" s="1193"/>
      <c r="BG205" s="1193"/>
    </row>
    <row r="206" spans="18:59" x14ac:dyDescent="0.35">
      <c r="R206" s="1193"/>
      <c r="S206" s="1193"/>
      <c r="W206" s="1193"/>
      <c r="X206" s="1193"/>
      <c r="AE206" s="1193"/>
      <c r="AF206" s="1193"/>
      <c r="AV206" s="1193"/>
      <c r="AW206" s="1193"/>
      <c r="AX206" s="1193"/>
      <c r="AY206" s="1193"/>
      <c r="AZ206" s="1193"/>
      <c r="BA206" s="1193"/>
      <c r="BC206" s="1193"/>
      <c r="BE206" s="1193"/>
      <c r="BF206" s="1193"/>
      <c r="BG206" s="1193"/>
    </row>
    <row r="207" spans="18:59" x14ac:dyDescent="0.35">
      <c r="R207" s="1193"/>
      <c r="S207" s="1193"/>
      <c r="W207" s="1193"/>
      <c r="X207" s="1193"/>
      <c r="AE207" s="1193"/>
      <c r="AF207" s="1193"/>
      <c r="AV207" s="1193"/>
      <c r="AW207" s="1193"/>
      <c r="AX207" s="1193"/>
      <c r="AY207" s="1193"/>
      <c r="AZ207" s="1193"/>
      <c r="BA207" s="1193"/>
      <c r="BC207" s="1193"/>
      <c r="BE207" s="1193"/>
      <c r="BF207" s="1193"/>
      <c r="BG207" s="1193"/>
    </row>
    <row r="208" spans="18:59" x14ac:dyDescent="0.35">
      <c r="R208" s="1193"/>
      <c r="S208" s="1193"/>
      <c r="W208" s="1193"/>
      <c r="X208" s="1193"/>
      <c r="AE208" s="1193"/>
      <c r="AF208" s="1193"/>
      <c r="AV208" s="1193"/>
      <c r="AW208" s="1193"/>
      <c r="AX208" s="1193"/>
      <c r="AY208" s="1193"/>
      <c r="AZ208" s="1193"/>
      <c r="BA208" s="1193"/>
      <c r="BC208" s="1193"/>
      <c r="BE208" s="1193"/>
      <c r="BF208" s="1193"/>
      <c r="BG208" s="1193"/>
    </row>
    <row r="209" spans="18:59" x14ac:dyDescent="0.35">
      <c r="R209" s="1193"/>
      <c r="S209" s="1193"/>
      <c r="W209" s="1193"/>
      <c r="X209" s="1193"/>
      <c r="AE209" s="1193"/>
      <c r="AF209" s="1193"/>
      <c r="AV209" s="1193"/>
      <c r="AW209" s="1193"/>
      <c r="AX209" s="1193"/>
      <c r="AY209" s="1193"/>
      <c r="AZ209" s="1193"/>
      <c r="BA209" s="1193"/>
      <c r="BC209" s="1193"/>
      <c r="BE209" s="1193"/>
      <c r="BF209" s="1193"/>
      <c r="BG209" s="1193"/>
    </row>
    <row r="210" spans="18:59" x14ac:dyDescent="0.35">
      <c r="R210" s="1193"/>
      <c r="S210" s="1193"/>
      <c r="W210" s="1193"/>
      <c r="X210" s="1193"/>
      <c r="AE210" s="1193"/>
      <c r="AF210" s="1193"/>
      <c r="AV210" s="1193"/>
      <c r="AW210" s="1193"/>
      <c r="AX210" s="1193"/>
      <c r="AY210" s="1193"/>
      <c r="AZ210" s="1193"/>
      <c r="BA210" s="1193"/>
      <c r="BC210" s="1193"/>
      <c r="BE210" s="1193"/>
      <c r="BF210" s="1193"/>
      <c r="BG210" s="1193"/>
    </row>
    <row r="211" spans="18:59" x14ac:dyDescent="0.35">
      <c r="R211" s="1193"/>
      <c r="S211" s="1193"/>
      <c r="W211" s="1193"/>
      <c r="X211" s="1193"/>
      <c r="AE211" s="1193"/>
      <c r="AF211" s="1193"/>
      <c r="AV211" s="1193"/>
      <c r="AW211" s="1193"/>
      <c r="AX211" s="1193"/>
      <c r="AY211" s="1193"/>
      <c r="AZ211" s="1193"/>
      <c r="BA211" s="1193"/>
      <c r="BC211" s="1193"/>
      <c r="BE211" s="1193"/>
      <c r="BF211" s="1193"/>
      <c r="BG211" s="1193"/>
    </row>
    <row r="212" spans="18:59" x14ac:dyDescent="0.35">
      <c r="R212" s="1193"/>
      <c r="S212" s="1193"/>
      <c r="W212" s="1193"/>
      <c r="X212" s="1193"/>
      <c r="AE212" s="1193"/>
      <c r="AF212" s="1193"/>
      <c r="AV212" s="1193"/>
      <c r="AW212" s="1193"/>
      <c r="AX212" s="1193"/>
      <c r="AY212" s="1193"/>
      <c r="AZ212" s="1193"/>
      <c r="BA212" s="1193"/>
      <c r="BC212" s="1193"/>
      <c r="BE212" s="1193"/>
      <c r="BF212" s="1193"/>
      <c r="BG212" s="1193"/>
    </row>
    <row r="213" spans="18:59" x14ac:dyDescent="0.35">
      <c r="R213" s="1193"/>
      <c r="S213" s="1193"/>
      <c r="W213" s="1193"/>
      <c r="X213" s="1193"/>
      <c r="AE213" s="1193"/>
      <c r="AF213" s="1193"/>
      <c r="AV213" s="1193"/>
      <c r="AW213" s="1193"/>
      <c r="AX213" s="1193"/>
      <c r="AY213" s="1193"/>
      <c r="AZ213" s="1193"/>
      <c r="BA213" s="1193"/>
      <c r="BC213" s="1193"/>
      <c r="BE213" s="1193"/>
      <c r="BF213" s="1193"/>
      <c r="BG213" s="1193"/>
    </row>
    <row r="214" spans="18:59" x14ac:dyDescent="0.35">
      <c r="R214" s="1193"/>
      <c r="S214" s="1193"/>
      <c r="W214" s="1193"/>
      <c r="X214" s="1193"/>
      <c r="AE214" s="1193"/>
      <c r="AF214" s="1193"/>
      <c r="AV214" s="1193"/>
      <c r="AW214" s="1193"/>
      <c r="AX214" s="1193"/>
      <c r="AY214" s="1193"/>
      <c r="AZ214" s="1193"/>
      <c r="BA214" s="1193"/>
      <c r="BC214" s="1193"/>
      <c r="BE214" s="1193"/>
      <c r="BF214" s="1193"/>
      <c r="BG214" s="1193"/>
    </row>
    <row r="215" spans="18:59" x14ac:dyDescent="0.35">
      <c r="R215" s="1193"/>
      <c r="S215" s="1193"/>
      <c r="W215" s="1193"/>
      <c r="X215" s="1193"/>
      <c r="AE215" s="1193"/>
      <c r="AF215" s="1193"/>
      <c r="AV215" s="1193"/>
      <c r="AW215" s="1193"/>
      <c r="AX215" s="1193"/>
      <c r="AY215" s="1193"/>
      <c r="AZ215" s="1193"/>
      <c r="BA215" s="1193"/>
      <c r="BC215" s="1193"/>
      <c r="BE215" s="1193"/>
      <c r="BF215" s="1193"/>
      <c r="BG215" s="1193"/>
    </row>
    <row r="216" spans="18:59" x14ac:dyDescent="0.35">
      <c r="R216" s="1193"/>
      <c r="S216" s="1193"/>
      <c r="W216" s="1193"/>
      <c r="X216" s="1193"/>
      <c r="AE216" s="1193"/>
      <c r="AF216" s="1193"/>
      <c r="AV216" s="1193"/>
      <c r="AW216" s="1193"/>
      <c r="AX216" s="1193"/>
      <c r="AY216" s="1193"/>
      <c r="AZ216" s="1193"/>
      <c r="BA216" s="1193"/>
      <c r="BC216" s="1193"/>
      <c r="BE216" s="1193"/>
      <c r="BF216" s="1193"/>
      <c r="BG216" s="1193"/>
    </row>
    <row r="217" spans="18:59" x14ac:dyDescent="0.35">
      <c r="R217" s="1193"/>
      <c r="S217" s="1193"/>
      <c r="W217" s="1193"/>
      <c r="X217" s="1193"/>
      <c r="AE217" s="1193"/>
      <c r="AF217" s="1193"/>
      <c r="AV217" s="1193"/>
      <c r="AW217" s="1193"/>
      <c r="AX217" s="1193"/>
      <c r="AY217" s="1193"/>
      <c r="AZ217" s="1193"/>
      <c r="BA217" s="1193"/>
      <c r="BC217" s="1193"/>
      <c r="BE217" s="1193"/>
      <c r="BF217" s="1193"/>
      <c r="BG217" s="1193"/>
    </row>
    <row r="218" spans="18:59" x14ac:dyDescent="0.35">
      <c r="R218" s="1193"/>
      <c r="S218" s="1193"/>
      <c r="W218" s="1193"/>
      <c r="X218" s="1193"/>
      <c r="AE218" s="1193"/>
      <c r="AF218" s="1193"/>
      <c r="AV218" s="1193"/>
      <c r="AW218" s="1193"/>
      <c r="AX218" s="1193"/>
      <c r="AY218" s="1193"/>
      <c r="AZ218" s="1193"/>
      <c r="BA218" s="1193"/>
      <c r="BC218" s="1193"/>
      <c r="BE218" s="1193"/>
      <c r="BF218" s="1193"/>
      <c r="BG218" s="1193"/>
    </row>
    <row r="219" spans="18:59" x14ac:dyDescent="0.35">
      <c r="R219" s="1193"/>
      <c r="S219" s="1193"/>
      <c r="W219" s="1193"/>
      <c r="X219" s="1193"/>
      <c r="AE219" s="1193"/>
      <c r="AF219" s="1193"/>
      <c r="AV219" s="1193"/>
      <c r="AW219" s="1193"/>
      <c r="AX219" s="1193"/>
      <c r="AY219" s="1193"/>
      <c r="AZ219" s="1193"/>
      <c r="BA219" s="1193"/>
      <c r="BC219" s="1193"/>
      <c r="BE219" s="1193"/>
      <c r="BF219" s="1193"/>
      <c r="BG219" s="1193"/>
    </row>
    <row r="220" spans="18:59" x14ac:dyDescent="0.35">
      <c r="R220" s="1193"/>
      <c r="S220" s="1193"/>
      <c r="W220" s="1193"/>
      <c r="X220" s="1193"/>
      <c r="AE220" s="1193"/>
      <c r="AF220" s="1193"/>
      <c r="AV220" s="1193"/>
      <c r="AW220" s="1193"/>
      <c r="AX220" s="1193"/>
      <c r="AY220" s="1193"/>
      <c r="AZ220" s="1193"/>
      <c r="BA220" s="1193"/>
      <c r="BC220" s="1193"/>
      <c r="BE220" s="1193"/>
      <c r="BF220" s="1193"/>
      <c r="BG220" s="1193"/>
    </row>
    <row r="221" spans="18:59" x14ac:dyDescent="0.35">
      <c r="R221" s="1193"/>
      <c r="S221" s="1193"/>
      <c r="W221" s="1193"/>
      <c r="X221" s="1193"/>
      <c r="AE221" s="1193"/>
      <c r="AF221" s="1193"/>
      <c r="AV221" s="1193"/>
      <c r="AW221" s="1193"/>
      <c r="AX221" s="1193"/>
      <c r="AY221" s="1193"/>
      <c r="AZ221" s="1193"/>
      <c r="BA221" s="1193"/>
      <c r="BC221" s="1193"/>
      <c r="BE221" s="1193"/>
      <c r="BF221" s="1193"/>
      <c r="BG221" s="1193"/>
    </row>
    <row r="222" spans="18:59" x14ac:dyDescent="0.35">
      <c r="R222" s="1193"/>
      <c r="S222" s="1193"/>
      <c r="W222" s="1193"/>
      <c r="X222" s="1193"/>
      <c r="AE222" s="1193"/>
      <c r="AF222" s="1193"/>
      <c r="AV222" s="1193"/>
      <c r="AW222" s="1193"/>
      <c r="AX222" s="1193"/>
      <c r="AY222" s="1193"/>
      <c r="AZ222" s="1193"/>
      <c r="BA222" s="1193"/>
      <c r="BC222" s="1193"/>
      <c r="BE222" s="1193"/>
      <c r="BF222" s="1193"/>
      <c r="BG222" s="1193"/>
    </row>
    <row r="223" spans="18:59" x14ac:dyDescent="0.35">
      <c r="R223" s="1193"/>
      <c r="S223" s="1193"/>
      <c r="W223" s="1193"/>
      <c r="X223" s="1193"/>
      <c r="AE223" s="1193"/>
      <c r="AF223" s="1193"/>
      <c r="AV223" s="1193"/>
      <c r="AW223" s="1193"/>
      <c r="AX223" s="1193"/>
      <c r="AY223" s="1193"/>
      <c r="AZ223" s="1193"/>
      <c r="BA223" s="1193"/>
      <c r="BC223" s="1193"/>
      <c r="BE223" s="1193"/>
      <c r="BF223" s="1193"/>
      <c r="BG223" s="1193"/>
    </row>
    <row r="224" spans="18:59" x14ac:dyDescent="0.35">
      <c r="R224" s="1193"/>
      <c r="S224" s="1193"/>
      <c r="W224" s="1193"/>
      <c r="X224" s="1193"/>
      <c r="AE224" s="1193"/>
      <c r="AF224" s="1193"/>
      <c r="AV224" s="1193"/>
      <c r="AW224" s="1193"/>
      <c r="AX224" s="1193"/>
      <c r="AY224" s="1193"/>
      <c r="AZ224" s="1193"/>
      <c r="BA224" s="1193"/>
      <c r="BC224" s="1193"/>
      <c r="BE224" s="1193"/>
      <c r="BF224" s="1193"/>
      <c r="BG224" s="1193"/>
    </row>
    <row r="225" spans="18:59" x14ac:dyDescent="0.35">
      <c r="R225" s="1193"/>
      <c r="S225" s="1193"/>
      <c r="W225" s="1193"/>
      <c r="X225" s="1193"/>
      <c r="AE225" s="1193"/>
      <c r="AF225" s="1193"/>
      <c r="AV225" s="1193"/>
      <c r="AW225" s="1193"/>
      <c r="AX225" s="1193"/>
      <c r="AY225" s="1193"/>
      <c r="AZ225" s="1193"/>
      <c r="BA225" s="1193"/>
      <c r="BC225" s="1193"/>
      <c r="BE225" s="1193"/>
      <c r="BF225" s="1193"/>
      <c r="BG225" s="1193"/>
    </row>
    <row r="226" spans="18:59" x14ac:dyDescent="0.35">
      <c r="R226" s="1193"/>
      <c r="S226" s="1193"/>
      <c r="W226" s="1193"/>
      <c r="X226" s="1193"/>
      <c r="AE226" s="1193"/>
      <c r="AF226" s="1193"/>
      <c r="AV226" s="1193"/>
      <c r="AW226" s="1193"/>
      <c r="AX226" s="1193"/>
      <c r="AY226" s="1193"/>
      <c r="AZ226" s="1193"/>
      <c r="BA226" s="1193"/>
      <c r="BC226" s="1193"/>
      <c r="BE226" s="1193"/>
      <c r="BF226" s="1193"/>
      <c r="BG226" s="1193"/>
    </row>
    <row r="227" spans="18:59" x14ac:dyDescent="0.35">
      <c r="R227" s="1193"/>
      <c r="S227" s="1193"/>
      <c r="W227" s="1193"/>
      <c r="X227" s="1193"/>
      <c r="AE227" s="1193"/>
      <c r="AF227" s="1193"/>
      <c r="AV227" s="1193"/>
      <c r="AW227" s="1193"/>
      <c r="AX227" s="1193"/>
      <c r="AY227" s="1193"/>
      <c r="AZ227" s="1193"/>
      <c r="BA227" s="1193"/>
      <c r="BC227" s="1193"/>
      <c r="BE227" s="1193"/>
      <c r="BF227" s="1193"/>
      <c r="BG227" s="1193"/>
    </row>
    <row r="228" spans="18:59" x14ac:dyDescent="0.35">
      <c r="R228" s="1193"/>
      <c r="S228" s="1193"/>
      <c r="W228" s="1193"/>
      <c r="X228" s="1193"/>
      <c r="AE228" s="1193"/>
      <c r="AF228" s="1193"/>
      <c r="AV228" s="1193"/>
      <c r="AW228" s="1193"/>
      <c r="AX228" s="1193"/>
      <c r="AY228" s="1193"/>
      <c r="AZ228" s="1193"/>
      <c r="BA228" s="1193"/>
      <c r="BC228" s="1193"/>
      <c r="BE228" s="1193"/>
      <c r="BF228" s="1193"/>
      <c r="BG228" s="1193"/>
    </row>
    <row r="229" spans="18:59" x14ac:dyDescent="0.35">
      <c r="R229" s="1193"/>
      <c r="S229" s="1193"/>
      <c r="W229" s="1193"/>
      <c r="X229" s="1193"/>
      <c r="AE229" s="1193"/>
      <c r="AF229" s="1193"/>
      <c r="AV229" s="1193"/>
      <c r="AW229" s="1193"/>
      <c r="AX229" s="1193"/>
      <c r="AY229" s="1193"/>
      <c r="AZ229" s="1193"/>
      <c r="BA229" s="1193"/>
      <c r="BC229" s="1193"/>
      <c r="BE229" s="1193"/>
      <c r="BF229" s="1193"/>
      <c r="BG229" s="1193"/>
    </row>
    <row r="230" spans="18:59" x14ac:dyDescent="0.35">
      <c r="R230" s="1193"/>
      <c r="S230" s="1193"/>
      <c r="W230" s="1193"/>
      <c r="X230" s="1193"/>
      <c r="AE230" s="1193"/>
      <c r="AF230" s="1193"/>
      <c r="AV230" s="1193"/>
      <c r="AW230" s="1193"/>
      <c r="AX230" s="1193"/>
      <c r="AY230" s="1193"/>
      <c r="AZ230" s="1193"/>
      <c r="BA230" s="1193"/>
      <c r="BC230" s="1193"/>
      <c r="BE230" s="1193"/>
      <c r="BF230" s="1193"/>
      <c r="BG230" s="1193"/>
    </row>
    <row r="231" spans="18:59" x14ac:dyDescent="0.35">
      <c r="R231" s="1193"/>
      <c r="S231" s="1193"/>
      <c r="W231" s="1193"/>
      <c r="X231" s="1193"/>
      <c r="AE231" s="1193"/>
      <c r="AF231" s="1193"/>
      <c r="AV231" s="1193"/>
      <c r="AW231" s="1193"/>
      <c r="AX231" s="1193"/>
      <c r="AY231" s="1193"/>
      <c r="AZ231" s="1193"/>
      <c r="BA231" s="1193"/>
      <c r="BC231" s="1193"/>
      <c r="BE231" s="1193"/>
      <c r="BF231" s="1193"/>
      <c r="BG231" s="1193"/>
    </row>
    <row r="232" spans="18:59" x14ac:dyDescent="0.35">
      <c r="R232" s="1193"/>
      <c r="S232" s="1193"/>
      <c r="W232" s="1193"/>
      <c r="X232" s="1193"/>
      <c r="AE232" s="1193"/>
      <c r="AF232" s="1193"/>
      <c r="AV232" s="1193"/>
      <c r="AW232" s="1193"/>
      <c r="AX232" s="1193"/>
      <c r="AY232" s="1193"/>
      <c r="AZ232" s="1193"/>
      <c r="BA232" s="1193"/>
      <c r="BC232" s="1193"/>
      <c r="BE232" s="1193"/>
      <c r="BF232" s="1193"/>
      <c r="BG232" s="1193"/>
    </row>
    <row r="233" spans="18:59" x14ac:dyDescent="0.35">
      <c r="R233" s="1193"/>
      <c r="S233" s="1193"/>
      <c r="W233" s="1193"/>
      <c r="X233" s="1193"/>
      <c r="AE233" s="1193"/>
      <c r="AF233" s="1193"/>
      <c r="AV233" s="1193"/>
      <c r="AW233" s="1193"/>
      <c r="AX233" s="1193"/>
      <c r="AY233" s="1193"/>
      <c r="AZ233" s="1193"/>
      <c r="BA233" s="1193"/>
      <c r="BC233" s="1193"/>
      <c r="BE233" s="1193"/>
      <c r="BF233" s="1193"/>
      <c r="BG233" s="1193"/>
    </row>
    <row r="234" spans="18:59" x14ac:dyDescent="0.35">
      <c r="R234" s="1193"/>
      <c r="S234" s="1193"/>
      <c r="W234" s="1193"/>
      <c r="X234" s="1193"/>
      <c r="AE234" s="1193"/>
      <c r="AF234" s="1193"/>
      <c r="AV234" s="1193"/>
      <c r="AW234" s="1193"/>
      <c r="AX234" s="1193"/>
      <c r="AY234" s="1193"/>
      <c r="AZ234" s="1193"/>
      <c r="BA234" s="1193"/>
      <c r="BC234" s="1193"/>
      <c r="BE234" s="1193"/>
      <c r="BF234" s="1193"/>
      <c r="BG234" s="1193"/>
    </row>
    <row r="235" spans="18:59" x14ac:dyDescent="0.35">
      <c r="R235" s="1193"/>
      <c r="S235" s="1193"/>
      <c r="W235" s="1193"/>
      <c r="X235" s="1193"/>
      <c r="AE235" s="1193"/>
      <c r="AF235" s="1193"/>
      <c r="AV235" s="1193"/>
      <c r="AW235" s="1193"/>
      <c r="AX235" s="1193"/>
      <c r="AY235" s="1193"/>
      <c r="AZ235" s="1193"/>
      <c r="BA235" s="1193"/>
      <c r="BC235" s="1193"/>
      <c r="BE235" s="1193"/>
      <c r="BF235" s="1193"/>
      <c r="BG235" s="1193"/>
    </row>
    <row r="236" spans="18:59" x14ac:dyDescent="0.35">
      <c r="R236" s="1193"/>
      <c r="S236" s="1193"/>
      <c r="W236" s="1193"/>
      <c r="X236" s="1193"/>
      <c r="AE236" s="1193"/>
      <c r="AF236" s="1193"/>
      <c r="AV236" s="1193"/>
      <c r="AW236" s="1193"/>
      <c r="AX236" s="1193"/>
      <c r="AY236" s="1193"/>
      <c r="AZ236" s="1193"/>
      <c r="BA236" s="1193"/>
      <c r="BC236" s="1193"/>
      <c r="BE236" s="1193"/>
      <c r="BF236" s="1193"/>
      <c r="BG236" s="1193"/>
    </row>
    <row r="237" spans="18:59" x14ac:dyDescent="0.35">
      <c r="R237" s="1193"/>
      <c r="S237" s="1193"/>
      <c r="W237" s="1193"/>
      <c r="X237" s="1193"/>
      <c r="AE237" s="1193"/>
      <c r="AF237" s="1193"/>
      <c r="AV237" s="1193"/>
      <c r="AW237" s="1193"/>
      <c r="AX237" s="1193"/>
      <c r="AY237" s="1193"/>
      <c r="AZ237" s="1193"/>
      <c r="BA237" s="1193"/>
      <c r="BC237" s="1193"/>
      <c r="BE237" s="1193"/>
      <c r="BF237" s="1193"/>
      <c r="BG237" s="1193"/>
    </row>
    <row r="238" spans="18:59" x14ac:dyDescent="0.35">
      <c r="R238" s="1193"/>
      <c r="S238" s="1193"/>
      <c r="W238" s="1193"/>
      <c r="X238" s="1193"/>
      <c r="AE238" s="1193"/>
      <c r="AF238" s="1193"/>
      <c r="AV238" s="1193"/>
      <c r="AW238" s="1193"/>
      <c r="AX238" s="1193"/>
      <c r="AY238" s="1193"/>
      <c r="AZ238" s="1193"/>
      <c r="BA238" s="1193"/>
      <c r="BC238" s="1193"/>
      <c r="BE238" s="1193"/>
      <c r="BF238" s="1193"/>
      <c r="BG238" s="1193"/>
    </row>
    <row r="239" spans="18:59" x14ac:dyDescent="0.35">
      <c r="R239" s="1193"/>
      <c r="S239" s="1193"/>
      <c r="W239" s="1193"/>
      <c r="X239" s="1193"/>
      <c r="AE239" s="1193"/>
      <c r="AF239" s="1193"/>
      <c r="AV239" s="1193"/>
      <c r="AW239" s="1193"/>
      <c r="AX239" s="1193"/>
      <c r="AY239" s="1193"/>
      <c r="AZ239" s="1193"/>
      <c r="BA239" s="1193"/>
      <c r="BC239" s="1193"/>
      <c r="BE239" s="1193"/>
      <c r="BF239" s="1193"/>
      <c r="BG239" s="1193"/>
    </row>
    <row r="240" spans="18:59" x14ac:dyDescent="0.35">
      <c r="R240" s="1193"/>
      <c r="S240" s="1193"/>
      <c r="W240" s="1193"/>
      <c r="X240" s="1193"/>
      <c r="AE240" s="1193"/>
      <c r="AF240" s="1193"/>
      <c r="AV240" s="1193"/>
      <c r="AW240" s="1193"/>
      <c r="AX240" s="1193"/>
      <c r="AY240" s="1193"/>
      <c r="AZ240" s="1193"/>
      <c r="BA240" s="1193"/>
      <c r="BC240" s="1193"/>
      <c r="BE240" s="1193"/>
      <c r="BF240" s="1193"/>
      <c r="BG240" s="1193"/>
    </row>
    <row r="241" spans="18:59" x14ac:dyDescent="0.35">
      <c r="R241" s="1193"/>
      <c r="S241" s="1193"/>
      <c r="W241" s="1193"/>
      <c r="X241" s="1193"/>
      <c r="AE241" s="1193"/>
      <c r="AF241" s="1193"/>
      <c r="AV241" s="1193"/>
      <c r="AW241" s="1193"/>
      <c r="AX241" s="1193"/>
      <c r="AY241" s="1193"/>
      <c r="AZ241" s="1193"/>
      <c r="BA241" s="1193"/>
      <c r="BC241" s="1193"/>
      <c r="BE241" s="1193"/>
      <c r="BF241" s="1193"/>
      <c r="BG241" s="1193"/>
    </row>
    <row r="242" spans="18:59" x14ac:dyDescent="0.35">
      <c r="R242" s="1193"/>
      <c r="S242" s="1193"/>
      <c r="W242" s="1193"/>
      <c r="X242" s="1193"/>
      <c r="AE242" s="1193"/>
      <c r="AF242" s="1193"/>
      <c r="AV242" s="1193"/>
      <c r="AW242" s="1193"/>
      <c r="AX242" s="1193"/>
      <c r="AY242" s="1193"/>
      <c r="AZ242" s="1193"/>
      <c r="BA242" s="1193"/>
      <c r="BC242" s="1193"/>
      <c r="BE242" s="1193"/>
      <c r="BF242" s="1193"/>
      <c r="BG242" s="1193"/>
    </row>
    <row r="243" spans="18:59" x14ac:dyDescent="0.35">
      <c r="R243" s="1193"/>
      <c r="S243" s="1193"/>
      <c r="W243" s="1193"/>
      <c r="X243" s="1193"/>
      <c r="AE243" s="1193"/>
      <c r="AF243" s="1193"/>
      <c r="AV243" s="1193"/>
      <c r="AW243" s="1193"/>
      <c r="AX243" s="1193"/>
      <c r="AY243" s="1193"/>
      <c r="AZ243" s="1193"/>
      <c r="BA243" s="1193"/>
      <c r="BC243" s="1193"/>
      <c r="BE243" s="1193"/>
      <c r="BF243" s="1193"/>
      <c r="BG243" s="1193"/>
    </row>
    <row r="244" spans="18:59" x14ac:dyDescent="0.35">
      <c r="R244" s="1193"/>
      <c r="S244" s="1193"/>
      <c r="W244" s="1193"/>
      <c r="X244" s="1193"/>
      <c r="AE244" s="1193"/>
      <c r="AF244" s="1193"/>
      <c r="AV244" s="1193"/>
      <c r="AW244" s="1193"/>
      <c r="AX244" s="1193"/>
      <c r="AY244" s="1193"/>
      <c r="AZ244" s="1193"/>
      <c r="BA244" s="1193"/>
      <c r="BC244" s="1193"/>
      <c r="BE244" s="1193"/>
      <c r="BF244" s="1193"/>
      <c r="BG244" s="1193"/>
    </row>
    <row r="245" spans="18:59" x14ac:dyDescent="0.35">
      <c r="R245" s="1193"/>
      <c r="S245" s="1193"/>
      <c r="W245" s="1193"/>
      <c r="X245" s="1193"/>
      <c r="AE245" s="1193"/>
      <c r="AF245" s="1193"/>
      <c r="AV245" s="1193"/>
      <c r="AW245" s="1193"/>
      <c r="AX245" s="1193"/>
      <c r="AY245" s="1193"/>
      <c r="AZ245" s="1193"/>
      <c r="BA245" s="1193"/>
      <c r="BC245" s="1193"/>
      <c r="BE245" s="1193"/>
      <c r="BF245" s="1193"/>
      <c r="BG245" s="1193"/>
    </row>
    <row r="246" spans="18:59" x14ac:dyDescent="0.35">
      <c r="R246" s="1193"/>
      <c r="S246" s="1193"/>
      <c r="W246" s="1193"/>
      <c r="X246" s="1193"/>
      <c r="AE246" s="1193"/>
      <c r="AF246" s="1193"/>
      <c r="AV246" s="1193"/>
      <c r="AW246" s="1193"/>
      <c r="AX246" s="1193"/>
      <c r="AY246" s="1193"/>
      <c r="AZ246" s="1193"/>
      <c r="BA246" s="1193"/>
      <c r="BC246" s="1193"/>
      <c r="BE246" s="1193"/>
      <c r="BF246" s="1193"/>
      <c r="BG246" s="1193"/>
    </row>
    <row r="247" spans="18:59" x14ac:dyDescent="0.35">
      <c r="R247" s="1193"/>
      <c r="S247" s="1193"/>
      <c r="W247" s="1193"/>
      <c r="X247" s="1193"/>
      <c r="AE247" s="1193"/>
      <c r="AF247" s="1193"/>
      <c r="AV247" s="1193"/>
      <c r="AW247" s="1193"/>
      <c r="AX247" s="1193"/>
      <c r="AY247" s="1193"/>
      <c r="AZ247" s="1193"/>
      <c r="BA247" s="1193"/>
      <c r="BC247" s="1193"/>
      <c r="BE247" s="1193"/>
      <c r="BF247" s="1193"/>
      <c r="BG247" s="1193"/>
    </row>
    <row r="248" spans="18:59" x14ac:dyDescent="0.35">
      <c r="R248" s="1193"/>
      <c r="S248" s="1193"/>
      <c r="W248" s="1193"/>
      <c r="X248" s="1193"/>
      <c r="AE248" s="1193"/>
      <c r="AF248" s="1193"/>
      <c r="AV248" s="1193"/>
      <c r="AW248" s="1193"/>
      <c r="AX248" s="1193"/>
      <c r="AY248" s="1193"/>
      <c r="AZ248" s="1193"/>
      <c r="BA248" s="1193"/>
      <c r="BC248" s="1193"/>
      <c r="BE248" s="1193"/>
      <c r="BF248" s="1193"/>
      <c r="BG248" s="1193"/>
    </row>
    <row r="249" spans="18:59" x14ac:dyDescent="0.35">
      <c r="R249" s="1193"/>
      <c r="S249" s="1193"/>
      <c r="W249" s="1193"/>
      <c r="X249" s="1193"/>
      <c r="AE249" s="1193"/>
      <c r="AF249" s="1193"/>
      <c r="AV249" s="1193"/>
      <c r="AW249" s="1193"/>
      <c r="AX249" s="1193"/>
      <c r="AY249" s="1193"/>
      <c r="AZ249" s="1193"/>
      <c r="BA249" s="1193"/>
      <c r="BC249" s="1193"/>
      <c r="BE249" s="1193"/>
      <c r="BF249" s="1193"/>
      <c r="BG249" s="1193"/>
    </row>
    <row r="250" spans="18:59" x14ac:dyDescent="0.35">
      <c r="R250" s="1193"/>
      <c r="S250" s="1193"/>
      <c r="W250" s="1193"/>
      <c r="X250" s="1193"/>
      <c r="AE250" s="1193"/>
      <c r="AF250" s="1193"/>
      <c r="AV250" s="1193"/>
      <c r="AW250" s="1193"/>
      <c r="AX250" s="1193"/>
      <c r="AY250" s="1193"/>
      <c r="AZ250" s="1193"/>
      <c r="BA250" s="1193"/>
      <c r="BC250" s="1193"/>
      <c r="BE250" s="1193"/>
      <c r="BF250" s="1193"/>
      <c r="BG250" s="1193"/>
    </row>
    <row r="251" spans="18:59" x14ac:dyDescent="0.35">
      <c r="R251" s="1193"/>
      <c r="S251" s="1193"/>
      <c r="W251" s="1193"/>
      <c r="X251" s="1193"/>
      <c r="AE251" s="1193"/>
      <c r="AF251" s="1193"/>
      <c r="AV251" s="1193"/>
      <c r="AW251" s="1193"/>
      <c r="AX251" s="1193"/>
      <c r="AY251" s="1193"/>
      <c r="AZ251" s="1193"/>
      <c r="BA251" s="1193"/>
      <c r="BC251" s="1193"/>
      <c r="BE251" s="1193"/>
      <c r="BF251" s="1193"/>
      <c r="BG251" s="1193"/>
    </row>
    <row r="252" spans="18:59" x14ac:dyDescent="0.35">
      <c r="R252" s="1193"/>
      <c r="S252" s="1193"/>
      <c r="W252" s="1193"/>
      <c r="X252" s="1193"/>
      <c r="AE252" s="1193"/>
      <c r="AF252" s="1193"/>
      <c r="AV252" s="1193"/>
      <c r="AW252" s="1193"/>
      <c r="AX252" s="1193"/>
      <c r="AY252" s="1193"/>
      <c r="AZ252" s="1193"/>
      <c r="BA252" s="1193"/>
      <c r="BC252" s="1193"/>
      <c r="BE252" s="1193"/>
      <c r="BF252" s="1193"/>
      <c r="BG252" s="1193"/>
    </row>
    <row r="253" spans="18:59" x14ac:dyDescent="0.35">
      <c r="R253" s="1193"/>
      <c r="S253" s="1193"/>
      <c r="W253" s="1193"/>
      <c r="X253" s="1193"/>
      <c r="AE253" s="1193"/>
      <c r="AF253" s="1193"/>
      <c r="AV253" s="1193"/>
      <c r="AW253" s="1193"/>
      <c r="AX253" s="1193"/>
      <c r="AY253" s="1193"/>
      <c r="AZ253" s="1193"/>
      <c r="BA253" s="1193"/>
      <c r="BC253" s="1193"/>
      <c r="BE253" s="1193"/>
      <c r="BF253" s="1193"/>
      <c r="BG253" s="1193"/>
    </row>
    <row r="254" spans="18:59" x14ac:dyDescent="0.35">
      <c r="R254" s="1193"/>
      <c r="S254" s="1193"/>
      <c r="W254" s="1193"/>
      <c r="X254" s="1193"/>
      <c r="AE254" s="1193"/>
      <c r="AF254" s="1193"/>
      <c r="AV254" s="1193"/>
      <c r="AW254" s="1193"/>
      <c r="AX254" s="1193"/>
      <c r="AY254" s="1193"/>
      <c r="AZ254" s="1193"/>
      <c r="BA254" s="1193"/>
      <c r="BC254" s="1193"/>
      <c r="BE254" s="1193"/>
      <c r="BF254" s="1193"/>
      <c r="BG254" s="1193"/>
    </row>
    <row r="255" spans="18:59" x14ac:dyDescent="0.35">
      <c r="R255" s="1193"/>
      <c r="S255" s="1193"/>
      <c r="W255" s="1193"/>
      <c r="X255" s="1193"/>
      <c r="AE255" s="1193"/>
      <c r="AF255" s="1193"/>
      <c r="AV255" s="1193"/>
      <c r="AW255" s="1193"/>
      <c r="AX255" s="1193"/>
      <c r="AY255" s="1193"/>
      <c r="AZ255" s="1193"/>
      <c r="BA255" s="1193"/>
      <c r="BC255" s="1193"/>
      <c r="BE255" s="1193"/>
      <c r="BF255" s="1193"/>
      <c r="BG255" s="1193"/>
    </row>
    <row r="256" spans="18:59" x14ac:dyDescent="0.35">
      <c r="R256" s="1193"/>
      <c r="S256" s="1193"/>
      <c r="W256" s="1193"/>
      <c r="X256" s="1193"/>
      <c r="AE256" s="1193"/>
      <c r="AF256" s="1193"/>
      <c r="AV256" s="1193"/>
      <c r="AW256" s="1193"/>
      <c r="AX256" s="1193"/>
      <c r="AY256" s="1193"/>
      <c r="AZ256" s="1193"/>
      <c r="BA256" s="1193"/>
      <c r="BC256" s="1193"/>
      <c r="BE256" s="1193"/>
      <c r="BF256" s="1193"/>
      <c r="BG256" s="1193"/>
    </row>
    <row r="257" spans="18:59" x14ac:dyDescent="0.35">
      <c r="R257" s="1193"/>
      <c r="S257" s="1193"/>
      <c r="W257" s="1193"/>
      <c r="X257" s="1193"/>
      <c r="AE257" s="1193"/>
      <c r="AF257" s="1193"/>
      <c r="AV257" s="1193"/>
      <c r="AW257" s="1193"/>
      <c r="AX257" s="1193"/>
      <c r="AY257" s="1193"/>
      <c r="AZ257" s="1193"/>
      <c r="BA257" s="1193"/>
      <c r="BC257" s="1193"/>
      <c r="BE257" s="1193"/>
      <c r="BF257" s="1193"/>
      <c r="BG257" s="1193"/>
    </row>
    <row r="258" spans="18:59" x14ac:dyDescent="0.35">
      <c r="R258" s="1193"/>
      <c r="S258" s="1193"/>
      <c r="W258" s="1193"/>
      <c r="X258" s="1193"/>
      <c r="AE258" s="1193"/>
      <c r="AF258" s="1193"/>
      <c r="AV258" s="1193"/>
      <c r="AW258" s="1193"/>
      <c r="AX258" s="1193"/>
      <c r="AY258" s="1193"/>
      <c r="AZ258" s="1193"/>
      <c r="BA258" s="1193"/>
      <c r="BC258" s="1193"/>
      <c r="BE258" s="1193"/>
      <c r="BF258" s="1193"/>
      <c r="BG258" s="1193"/>
    </row>
    <row r="259" spans="18:59" x14ac:dyDescent="0.35">
      <c r="R259" s="1193"/>
      <c r="S259" s="1193"/>
      <c r="W259" s="1193"/>
      <c r="X259" s="1193"/>
      <c r="AE259" s="1193"/>
      <c r="AF259" s="1193"/>
      <c r="AV259" s="1193"/>
      <c r="AW259" s="1193"/>
      <c r="AX259" s="1193"/>
      <c r="AY259" s="1193"/>
      <c r="AZ259" s="1193"/>
      <c r="BA259" s="1193"/>
      <c r="BC259" s="1193"/>
      <c r="BE259" s="1193"/>
      <c r="BF259" s="1193"/>
      <c r="BG259" s="1193"/>
    </row>
    <row r="260" spans="18:59" x14ac:dyDescent="0.35">
      <c r="R260" s="1193"/>
      <c r="S260" s="1193"/>
      <c r="W260" s="1193"/>
      <c r="X260" s="1193"/>
      <c r="AE260" s="1193"/>
      <c r="AF260" s="1193"/>
      <c r="AV260" s="1193"/>
      <c r="AW260" s="1193"/>
      <c r="AX260" s="1193"/>
      <c r="AY260" s="1193"/>
      <c r="AZ260" s="1193"/>
      <c r="BA260" s="1193"/>
      <c r="BC260" s="1193"/>
      <c r="BE260" s="1193"/>
      <c r="BF260" s="1193"/>
      <c r="BG260" s="1193"/>
    </row>
    <row r="261" spans="18:59" x14ac:dyDescent="0.35">
      <c r="R261" s="1193"/>
      <c r="S261" s="1193"/>
      <c r="W261" s="1193"/>
      <c r="X261" s="1193"/>
      <c r="AE261" s="1193"/>
      <c r="AF261" s="1193"/>
      <c r="AV261" s="1193"/>
      <c r="AW261" s="1193"/>
      <c r="AX261" s="1193"/>
      <c r="AY261" s="1193"/>
      <c r="AZ261" s="1193"/>
      <c r="BA261" s="1193"/>
      <c r="BC261" s="1193"/>
      <c r="BE261" s="1193"/>
      <c r="BF261" s="1193"/>
      <c r="BG261" s="1193"/>
    </row>
    <row r="262" spans="18:59" x14ac:dyDescent="0.35">
      <c r="R262" s="1193"/>
      <c r="S262" s="1193"/>
      <c r="W262" s="1193"/>
      <c r="X262" s="1193"/>
      <c r="AE262" s="1193"/>
      <c r="AF262" s="1193"/>
      <c r="AV262" s="1193"/>
      <c r="AW262" s="1193"/>
      <c r="AX262" s="1193"/>
      <c r="AY262" s="1193"/>
      <c r="AZ262" s="1193"/>
      <c r="BA262" s="1193"/>
      <c r="BC262" s="1193"/>
      <c r="BE262" s="1193"/>
      <c r="BF262" s="1193"/>
      <c r="BG262" s="1193"/>
    </row>
    <row r="263" spans="18:59" x14ac:dyDescent="0.35">
      <c r="R263" s="1193"/>
      <c r="S263" s="1193"/>
      <c r="W263" s="1193"/>
      <c r="X263" s="1193"/>
      <c r="AE263" s="1193"/>
      <c r="AF263" s="1193"/>
      <c r="AV263" s="1193"/>
      <c r="AW263" s="1193"/>
      <c r="AX263" s="1193"/>
      <c r="AY263" s="1193"/>
      <c r="AZ263" s="1193"/>
      <c r="BA263" s="1193"/>
      <c r="BC263" s="1193"/>
      <c r="BE263" s="1193"/>
      <c r="BF263" s="1193"/>
      <c r="BG263" s="1193"/>
    </row>
    <row r="264" spans="18:59" x14ac:dyDescent="0.35">
      <c r="R264" s="1193"/>
      <c r="S264" s="1193"/>
      <c r="W264" s="1193"/>
      <c r="X264" s="1193"/>
      <c r="AE264" s="1193"/>
      <c r="AF264" s="1193"/>
      <c r="AV264" s="1193"/>
      <c r="AW264" s="1193"/>
      <c r="AX264" s="1193"/>
      <c r="AY264" s="1193"/>
      <c r="AZ264" s="1193"/>
      <c r="BA264" s="1193"/>
      <c r="BC264" s="1193"/>
      <c r="BE264" s="1193"/>
      <c r="BF264" s="1193"/>
      <c r="BG264" s="1193"/>
    </row>
    <row r="265" spans="18:59" x14ac:dyDescent="0.35">
      <c r="R265" s="1193"/>
      <c r="S265" s="1193"/>
      <c r="W265" s="1193"/>
      <c r="X265" s="1193"/>
      <c r="AE265" s="1193"/>
      <c r="AF265" s="1193"/>
      <c r="AV265" s="1193"/>
      <c r="AW265" s="1193"/>
      <c r="AX265" s="1193"/>
      <c r="AY265" s="1193"/>
      <c r="AZ265" s="1193"/>
      <c r="BA265" s="1193"/>
      <c r="BC265" s="1193"/>
      <c r="BE265" s="1193"/>
      <c r="BF265" s="1193"/>
      <c r="BG265" s="1193"/>
    </row>
    <row r="266" spans="18:59" x14ac:dyDescent="0.35">
      <c r="R266" s="1193"/>
      <c r="S266" s="1193"/>
      <c r="W266" s="1193"/>
      <c r="X266" s="1193"/>
      <c r="AE266" s="1193"/>
      <c r="AF266" s="1193"/>
      <c r="AV266" s="1193"/>
      <c r="AW266" s="1193"/>
      <c r="AX266" s="1193"/>
      <c r="AY266" s="1193"/>
      <c r="AZ266" s="1193"/>
      <c r="BA266" s="1193"/>
      <c r="BC266" s="1193"/>
      <c r="BE266" s="1193"/>
      <c r="BF266" s="1193"/>
      <c r="BG266" s="1193"/>
    </row>
    <row r="267" spans="18:59" x14ac:dyDescent="0.35">
      <c r="R267" s="1193"/>
      <c r="S267" s="1193"/>
      <c r="W267" s="1193"/>
      <c r="X267" s="1193"/>
      <c r="AE267" s="1193"/>
      <c r="AF267" s="1193"/>
      <c r="AV267" s="1193"/>
      <c r="AW267" s="1193"/>
      <c r="AX267" s="1193"/>
      <c r="AY267" s="1193"/>
      <c r="AZ267" s="1193"/>
      <c r="BA267" s="1193"/>
      <c r="BC267" s="1193"/>
      <c r="BE267" s="1193"/>
      <c r="BF267" s="1193"/>
      <c r="BG267" s="1193"/>
    </row>
    <row r="268" spans="18:59" x14ac:dyDescent="0.35">
      <c r="R268" s="1193"/>
      <c r="S268" s="1193"/>
      <c r="W268" s="1193"/>
      <c r="X268" s="1193"/>
      <c r="AE268" s="1193"/>
      <c r="AF268" s="1193"/>
      <c r="AV268" s="1193"/>
      <c r="AW268" s="1193"/>
      <c r="AX268" s="1193"/>
      <c r="AY268" s="1193"/>
      <c r="AZ268" s="1193"/>
      <c r="BA268" s="1193"/>
      <c r="BC268" s="1193"/>
      <c r="BE268" s="1193"/>
      <c r="BF268" s="1193"/>
      <c r="BG268" s="1193"/>
    </row>
    <row r="269" spans="18:59" x14ac:dyDescent="0.35">
      <c r="R269" s="1193"/>
      <c r="S269" s="1193"/>
      <c r="W269" s="1193"/>
      <c r="X269" s="1193"/>
      <c r="AE269" s="1193"/>
      <c r="AF269" s="1193"/>
      <c r="AV269" s="1193"/>
      <c r="AW269" s="1193"/>
      <c r="AX269" s="1193"/>
      <c r="AY269" s="1193"/>
      <c r="AZ269" s="1193"/>
      <c r="BA269" s="1193"/>
      <c r="BC269" s="1193"/>
      <c r="BE269" s="1193"/>
      <c r="BF269" s="1193"/>
      <c r="BG269" s="1193"/>
    </row>
    <row r="270" spans="18:59" x14ac:dyDescent="0.35">
      <c r="R270" s="1193"/>
      <c r="S270" s="1193"/>
      <c r="W270" s="1193"/>
      <c r="X270" s="1193"/>
      <c r="AE270" s="1193"/>
      <c r="AF270" s="1193"/>
      <c r="AV270" s="1193"/>
      <c r="AW270" s="1193"/>
      <c r="AX270" s="1193"/>
      <c r="AY270" s="1193"/>
      <c r="AZ270" s="1193"/>
      <c r="BA270" s="1193"/>
      <c r="BC270" s="1193"/>
      <c r="BE270" s="1193"/>
      <c r="BF270" s="1193"/>
      <c r="BG270" s="1193"/>
    </row>
    <row r="271" spans="18:59" x14ac:dyDescent="0.35">
      <c r="R271" s="1193"/>
      <c r="S271" s="1193"/>
      <c r="W271" s="1193"/>
      <c r="X271" s="1193"/>
      <c r="AE271" s="1193"/>
      <c r="AF271" s="1193"/>
      <c r="AV271" s="1193"/>
      <c r="AW271" s="1193"/>
      <c r="AX271" s="1193"/>
      <c r="AY271" s="1193"/>
      <c r="AZ271" s="1193"/>
      <c r="BA271" s="1193"/>
      <c r="BC271" s="1193"/>
      <c r="BE271" s="1193"/>
      <c r="BF271" s="1193"/>
      <c r="BG271" s="1193"/>
    </row>
    <row r="272" spans="18:59" x14ac:dyDescent="0.35">
      <c r="R272" s="1193"/>
      <c r="S272" s="1193"/>
      <c r="W272" s="1193"/>
      <c r="X272" s="1193"/>
      <c r="AE272" s="1193"/>
      <c r="AF272" s="1193"/>
      <c r="AV272" s="1193"/>
      <c r="AW272" s="1193"/>
      <c r="AX272" s="1193"/>
      <c r="AY272" s="1193"/>
      <c r="AZ272" s="1193"/>
      <c r="BA272" s="1193"/>
      <c r="BC272" s="1193"/>
      <c r="BE272" s="1193"/>
      <c r="BF272" s="1193"/>
      <c r="BG272" s="1193"/>
    </row>
    <row r="273" spans="18:59" x14ac:dyDescent="0.35">
      <c r="R273" s="1193"/>
      <c r="S273" s="1193"/>
      <c r="W273" s="1193"/>
      <c r="X273" s="1193"/>
      <c r="AE273" s="1193"/>
      <c r="AF273" s="1193"/>
      <c r="AV273" s="1193"/>
      <c r="AW273" s="1193"/>
      <c r="AX273" s="1193"/>
      <c r="AY273" s="1193"/>
      <c r="AZ273" s="1193"/>
      <c r="BA273" s="1193"/>
      <c r="BC273" s="1193"/>
      <c r="BE273" s="1193"/>
      <c r="BF273" s="1193"/>
      <c r="BG273" s="1193"/>
    </row>
    <row r="274" spans="18:59" x14ac:dyDescent="0.35">
      <c r="R274" s="1193"/>
      <c r="S274" s="1193"/>
      <c r="W274" s="1193"/>
      <c r="X274" s="1193"/>
      <c r="AE274" s="1193"/>
      <c r="AF274" s="1193"/>
      <c r="AV274" s="1193"/>
      <c r="AW274" s="1193"/>
      <c r="AX274" s="1193"/>
      <c r="AY274" s="1193"/>
      <c r="AZ274" s="1193"/>
      <c r="BA274" s="1193"/>
      <c r="BC274" s="1193"/>
      <c r="BE274" s="1193"/>
      <c r="BF274" s="1193"/>
      <c r="BG274" s="1193"/>
    </row>
    <row r="275" spans="18:59" x14ac:dyDescent="0.35">
      <c r="R275" s="1193"/>
      <c r="S275" s="1193"/>
      <c r="W275" s="1193"/>
      <c r="X275" s="1193"/>
      <c r="AE275" s="1193"/>
      <c r="AF275" s="1193"/>
      <c r="AV275" s="1193"/>
      <c r="AW275" s="1193"/>
      <c r="AX275" s="1193"/>
      <c r="AY275" s="1193"/>
      <c r="AZ275" s="1193"/>
      <c r="BA275" s="1193"/>
      <c r="BC275" s="1193"/>
      <c r="BE275" s="1193"/>
      <c r="BF275" s="1193"/>
      <c r="BG275" s="1193"/>
    </row>
    <row r="276" spans="18:59" x14ac:dyDescent="0.35">
      <c r="R276" s="1193"/>
      <c r="S276" s="1193"/>
      <c r="W276" s="1193"/>
      <c r="X276" s="1193"/>
      <c r="AE276" s="1193"/>
      <c r="AF276" s="1193"/>
      <c r="AV276" s="1193"/>
      <c r="AW276" s="1193"/>
      <c r="AX276" s="1193"/>
      <c r="AY276" s="1193"/>
      <c r="AZ276" s="1193"/>
      <c r="BA276" s="1193"/>
      <c r="BC276" s="1193"/>
      <c r="BE276" s="1193"/>
      <c r="BF276" s="1193"/>
      <c r="BG276" s="1193"/>
    </row>
    <row r="277" spans="18:59" x14ac:dyDescent="0.35">
      <c r="R277" s="1193"/>
      <c r="S277" s="1193"/>
      <c r="W277" s="1193"/>
      <c r="X277" s="1193"/>
      <c r="AE277" s="1193"/>
      <c r="AF277" s="1193"/>
      <c r="AV277" s="1193"/>
      <c r="AW277" s="1193"/>
      <c r="AX277" s="1193"/>
      <c r="AY277" s="1193"/>
      <c r="AZ277" s="1193"/>
      <c r="BA277" s="1193"/>
      <c r="BC277" s="1193"/>
      <c r="BE277" s="1193"/>
      <c r="BF277" s="1193"/>
      <c r="BG277" s="1193"/>
    </row>
    <row r="278" spans="18:59" x14ac:dyDescent="0.35">
      <c r="R278" s="1193"/>
      <c r="S278" s="1193"/>
      <c r="W278" s="1193"/>
      <c r="X278" s="1193"/>
      <c r="AE278" s="1193"/>
      <c r="AF278" s="1193"/>
      <c r="AV278" s="1193"/>
      <c r="AW278" s="1193"/>
      <c r="AX278" s="1193"/>
      <c r="AY278" s="1193"/>
      <c r="AZ278" s="1193"/>
      <c r="BA278" s="1193"/>
      <c r="BC278" s="1193"/>
      <c r="BE278" s="1193"/>
      <c r="BF278" s="1193"/>
      <c r="BG278" s="1193"/>
    </row>
    <row r="279" spans="18:59" x14ac:dyDescent="0.35">
      <c r="R279" s="1193"/>
      <c r="S279" s="1193"/>
      <c r="W279" s="1193"/>
      <c r="X279" s="1193"/>
      <c r="AE279" s="1193"/>
      <c r="AF279" s="1193"/>
      <c r="AV279" s="1193"/>
      <c r="AW279" s="1193"/>
      <c r="AX279" s="1193"/>
      <c r="AY279" s="1193"/>
      <c r="AZ279" s="1193"/>
      <c r="BA279" s="1193"/>
      <c r="BC279" s="1193"/>
      <c r="BE279" s="1193"/>
      <c r="BF279" s="1193"/>
      <c r="BG279" s="1193"/>
    </row>
    <row r="280" spans="18:59" x14ac:dyDescent="0.35">
      <c r="R280" s="1193"/>
      <c r="S280" s="1193"/>
      <c r="W280" s="1193"/>
      <c r="X280" s="1193"/>
      <c r="AE280" s="1193"/>
      <c r="AF280" s="1193"/>
      <c r="AV280" s="1193"/>
      <c r="AW280" s="1193"/>
      <c r="AX280" s="1193"/>
      <c r="AY280" s="1193"/>
      <c r="AZ280" s="1193"/>
      <c r="BA280" s="1193"/>
      <c r="BC280" s="1193"/>
      <c r="BE280" s="1193"/>
      <c r="BF280" s="1193"/>
      <c r="BG280" s="1193"/>
    </row>
    <row r="281" spans="18:59" x14ac:dyDescent="0.35">
      <c r="R281" s="1193"/>
      <c r="S281" s="1193"/>
      <c r="W281" s="1193"/>
      <c r="X281" s="1193"/>
      <c r="AE281" s="1193"/>
      <c r="AF281" s="1193"/>
      <c r="AV281" s="1193"/>
      <c r="AW281" s="1193"/>
      <c r="AX281" s="1193"/>
      <c r="AY281" s="1193"/>
      <c r="AZ281" s="1193"/>
      <c r="BA281" s="1193"/>
      <c r="BC281" s="1193"/>
      <c r="BE281" s="1193"/>
      <c r="BF281" s="1193"/>
      <c r="BG281" s="1193"/>
    </row>
    <row r="282" spans="18:59" x14ac:dyDescent="0.35">
      <c r="R282" s="1193"/>
      <c r="S282" s="1193"/>
      <c r="W282" s="1193"/>
      <c r="X282" s="1193"/>
      <c r="AE282" s="1193"/>
      <c r="AF282" s="1193"/>
      <c r="AV282" s="1193"/>
      <c r="AW282" s="1193"/>
      <c r="AX282" s="1193"/>
      <c r="AY282" s="1193"/>
      <c r="AZ282" s="1193"/>
      <c r="BA282" s="1193"/>
      <c r="BC282" s="1193"/>
      <c r="BE282" s="1193"/>
      <c r="BF282" s="1193"/>
      <c r="BG282" s="1193"/>
    </row>
    <row r="283" spans="18:59" x14ac:dyDescent="0.35">
      <c r="R283" s="1193"/>
      <c r="S283" s="1193"/>
      <c r="W283" s="1193"/>
      <c r="X283" s="1193"/>
      <c r="AE283" s="1193"/>
      <c r="AF283" s="1193"/>
      <c r="AV283" s="1193"/>
      <c r="AW283" s="1193"/>
      <c r="AX283" s="1193"/>
      <c r="AY283" s="1193"/>
      <c r="AZ283" s="1193"/>
      <c r="BA283" s="1193"/>
      <c r="BC283" s="1193"/>
      <c r="BE283" s="1193"/>
      <c r="BF283" s="1193"/>
      <c r="BG283" s="1193"/>
    </row>
    <row r="284" spans="18:59" x14ac:dyDescent="0.35">
      <c r="R284" s="1193"/>
      <c r="S284" s="1193"/>
      <c r="W284" s="1193"/>
      <c r="X284" s="1193"/>
      <c r="AE284" s="1193"/>
      <c r="AF284" s="1193"/>
      <c r="AV284" s="1193"/>
      <c r="AW284" s="1193"/>
      <c r="AX284" s="1193"/>
      <c r="AY284" s="1193"/>
      <c r="AZ284" s="1193"/>
      <c r="BA284" s="1193"/>
      <c r="BC284" s="1193"/>
      <c r="BE284" s="1193"/>
      <c r="BF284" s="1193"/>
      <c r="BG284" s="1193"/>
    </row>
    <row r="285" spans="18:59" x14ac:dyDescent="0.35">
      <c r="R285" s="1193"/>
      <c r="S285" s="1193"/>
      <c r="W285" s="1193"/>
      <c r="X285" s="1193"/>
      <c r="AE285" s="1193"/>
      <c r="AF285" s="1193"/>
      <c r="AV285" s="1193"/>
      <c r="AW285" s="1193"/>
      <c r="AX285" s="1193"/>
      <c r="AY285" s="1193"/>
      <c r="AZ285" s="1193"/>
      <c r="BA285" s="1193"/>
      <c r="BC285" s="1193"/>
      <c r="BE285" s="1193"/>
      <c r="BF285" s="1193"/>
      <c r="BG285" s="1193"/>
    </row>
    <row r="286" spans="18:59" x14ac:dyDescent="0.35">
      <c r="R286" s="1193"/>
      <c r="S286" s="1193"/>
      <c r="W286" s="1193"/>
      <c r="X286" s="1193"/>
      <c r="AE286" s="1193"/>
      <c r="AF286" s="1193"/>
      <c r="AV286" s="1193"/>
      <c r="AW286" s="1193"/>
      <c r="AX286" s="1193"/>
      <c r="AY286" s="1193"/>
      <c r="AZ286" s="1193"/>
      <c r="BA286" s="1193"/>
      <c r="BC286" s="1193"/>
      <c r="BE286" s="1193"/>
      <c r="BF286" s="1193"/>
      <c r="BG286" s="1193"/>
    </row>
    <row r="287" spans="18:59" x14ac:dyDescent="0.35">
      <c r="R287" s="1193"/>
      <c r="S287" s="1193"/>
      <c r="W287" s="1193"/>
      <c r="X287" s="1193"/>
      <c r="AE287" s="1193"/>
      <c r="AF287" s="1193"/>
      <c r="AV287" s="1193"/>
      <c r="AW287" s="1193"/>
      <c r="AX287" s="1193"/>
      <c r="AY287" s="1193"/>
      <c r="AZ287" s="1193"/>
      <c r="BA287" s="1193"/>
      <c r="BC287" s="1193"/>
      <c r="BE287" s="1193"/>
      <c r="BF287" s="1193"/>
      <c r="BG287" s="1193"/>
    </row>
    <row r="288" spans="18:59" x14ac:dyDescent="0.35">
      <c r="R288" s="1193"/>
      <c r="S288" s="1193"/>
      <c r="W288" s="1193"/>
      <c r="X288" s="1193"/>
      <c r="AE288" s="1193"/>
      <c r="AF288" s="1193"/>
      <c r="AV288" s="1193"/>
      <c r="AW288" s="1193"/>
      <c r="AX288" s="1193"/>
      <c r="AY288" s="1193"/>
      <c r="AZ288" s="1193"/>
      <c r="BA288" s="1193"/>
      <c r="BC288" s="1193"/>
      <c r="BE288" s="1193"/>
      <c r="BF288" s="1193"/>
      <c r="BG288" s="1193"/>
    </row>
    <row r="289" spans="18:59" x14ac:dyDescent="0.35">
      <c r="R289" s="1193"/>
      <c r="S289" s="1193"/>
      <c r="W289" s="1193"/>
      <c r="X289" s="1193"/>
      <c r="AE289" s="1193"/>
      <c r="AF289" s="1193"/>
      <c r="AV289" s="1193"/>
      <c r="AW289" s="1193"/>
      <c r="AX289" s="1193"/>
      <c r="AY289" s="1193"/>
      <c r="AZ289" s="1193"/>
      <c r="BA289" s="1193"/>
      <c r="BC289" s="1193"/>
      <c r="BE289" s="1193"/>
      <c r="BF289" s="1193"/>
      <c r="BG289" s="1193"/>
    </row>
    <row r="290" spans="18:59" x14ac:dyDescent="0.35">
      <c r="R290" s="1193"/>
      <c r="S290" s="1193"/>
      <c r="W290" s="1193"/>
      <c r="X290" s="1193"/>
      <c r="AE290" s="1193"/>
      <c r="AF290" s="1193"/>
      <c r="AV290" s="1193"/>
      <c r="AW290" s="1193"/>
      <c r="AX290" s="1193"/>
      <c r="AY290" s="1193"/>
      <c r="AZ290" s="1193"/>
      <c r="BA290" s="1193"/>
      <c r="BC290" s="1193"/>
      <c r="BE290" s="1193"/>
      <c r="BF290" s="1193"/>
      <c r="BG290" s="1193"/>
    </row>
    <row r="291" spans="18:59" x14ac:dyDescent="0.35">
      <c r="R291" s="1193"/>
      <c r="S291" s="1193"/>
      <c r="W291" s="1193"/>
      <c r="X291" s="1193"/>
      <c r="AE291" s="1193"/>
      <c r="AF291" s="1193"/>
      <c r="AV291" s="1193"/>
      <c r="AW291" s="1193"/>
      <c r="AX291" s="1193"/>
      <c r="AY291" s="1193"/>
      <c r="AZ291" s="1193"/>
      <c r="BA291" s="1193"/>
      <c r="BC291" s="1193"/>
      <c r="BE291" s="1193"/>
      <c r="BF291" s="1193"/>
      <c r="BG291" s="1193"/>
    </row>
    <row r="292" spans="18:59" x14ac:dyDescent="0.35">
      <c r="R292" s="1193"/>
      <c r="S292" s="1193"/>
      <c r="W292" s="1193"/>
      <c r="X292" s="1193"/>
      <c r="AE292" s="1193"/>
      <c r="AF292" s="1193"/>
      <c r="AV292" s="1193"/>
      <c r="AW292" s="1193"/>
      <c r="AX292" s="1193"/>
      <c r="AY292" s="1193"/>
      <c r="AZ292" s="1193"/>
      <c r="BA292" s="1193"/>
      <c r="BC292" s="1193"/>
      <c r="BE292" s="1193"/>
      <c r="BF292" s="1193"/>
      <c r="BG292" s="1193"/>
    </row>
    <row r="293" spans="18:59" x14ac:dyDescent="0.35">
      <c r="R293" s="1193"/>
      <c r="S293" s="1193"/>
      <c r="W293" s="1193"/>
      <c r="X293" s="1193"/>
      <c r="AE293" s="1193"/>
      <c r="AF293" s="1193"/>
      <c r="AV293" s="1193"/>
      <c r="AW293" s="1193"/>
      <c r="AX293" s="1193"/>
      <c r="AY293" s="1193"/>
      <c r="AZ293" s="1193"/>
      <c r="BA293" s="1193"/>
      <c r="BC293" s="1193"/>
      <c r="BE293" s="1193"/>
      <c r="BF293" s="1193"/>
      <c r="BG293" s="1193"/>
    </row>
    <row r="294" spans="18:59" x14ac:dyDescent="0.35">
      <c r="R294" s="1193"/>
      <c r="S294" s="1193"/>
      <c r="W294" s="1193"/>
      <c r="X294" s="1193"/>
      <c r="AE294" s="1193"/>
      <c r="AF294" s="1193"/>
      <c r="AV294" s="1193"/>
      <c r="AW294" s="1193"/>
      <c r="AX294" s="1193"/>
      <c r="AY294" s="1193"/>
      <c r="AZ294" s="1193"/>
      <c r="BA294" s="1193"/>
      <c r="BC294" s="1193"/>
      <c r="BE294" s="1193"/>
      <c r="BF294" s="1193"/>
      <c r="BG294" s="1193"/>
    </row>
    <row r="295" spans="18:59" x14ac:dyDescent="0.35">
      <c r="R295" s="1193"/>
      <c r="S295" s="1193"/>
      <c r="W295" s="1193"/>
      <c r="X295" s="1193"/>
      <c r="AE295" s="1193"/>
      <c r="AF295" s="1193"/>
      <c r="AV295" s="1193"/>
      <c r="AW295" s="1193"/>
      <c r="AX295" s="1193"/>
      <c r="AY295" s="1193"/>
      <c r="AZ295" s="1193"/>
      <c r="BA295" s="1193"/>
      <c r="BC295" s="1193"/>
      <c r="BE295" s="1193"/>
      <c r="BF295" s="1193"/>
      <c r="BG295" s="1193"/>
    </row>
    <row r="296" spans="18:59" x14ac:dyDescent="0.35">
      <c r="R296" s="1193"/>
      <c r="S296" s="1193"/>
      <c r="W296" s="1193"/>
      <c r="X296" s="1193"/>
      <c r="AE296" s="1193"/>
      <c r="AF296" s="1193"/>
      <c r="AV296" s="1193"/>
      <c r="AW296" s="1193"/>
      <c r="AX296" s="1193"/>
      <c r="AY296" s="1193"/>
      <c r="AZ296" s="1193"/>
      <c r="BA296" s="1193"/>
      <c r="BC296" s="1193"/>
      <c r="BE296" s="1193"/>
      <c r="BF296" s="1193"/>
      <c r="BG296" s="1193"/>
    </row>
    <row r="297" spans="18:59" x14ac:dyDescent="0.35">
      <c r="R297" s="1193"/>
      <c r="S297" s="1193"/>
      <c r="W297" s="1193"/>
      <c r="X297" s="1193"/>
      <c r="AE297" s="1193"/>
      <c r="AF297" s="1193"/>
      <c r="AV297" s="1193"/>
      <c r="AW297" s="1193"/>
      <c r="AX297" s="1193"/>
      <c r="AY297" s="1193"/>
      <c r="AZ297" s="1193"/>
      <c r="BA297" s="1193"/>
      <c r="BC297" s="1193"/>
      <c r="BE297" s="1193"/>
      <c r="BF297" s="1193"/>
      <c r="BG297" s="1193"/>
    </row>
    <row r="298" spans="18:59" x14ac:dyDescent="0.35">
      <c r="R298" s="1193"/>
      <c r="S298" s="1193"/>
      <c r="W298" s="1193"/>
      <c r="X298" s="1193"/>
      <c r="AE298" s="1193"/>
      <c r="AF298" s="1193"/>
      <c r="AV298" s="1193"/>
      <c r="AW298" s="1193"/>
      <c r="AX298" s="1193"/>
      <c r="AY298" s="1193"/>
      <c r="AZ298" s="1193"/>
      <c r="BA298" s="1193"/>
      <c r="BC298" s="1193"/>
      <c r="BE298" s="1193"/>
      <c r="BF298" s="1193"/>
      <c r="BG298" s="1193"/>
    </row>
    <row r="299" spans="18:59" x14ac:dyDescent="0.35">
      <c r="R299" s="1193"/>
      <c r="S299" s="1193"/>
      <c r="W299" s="1193"/>
      <c r="X299" s="1193"/>
      <c r="AE299" s="1193"/>
      <c r="AF299" s="1193"/>
      <c r="AV299" s="1193"/>
      <c r="AW299" s="1193"/>
      <c r="AX299" s="1193"/>
      <c r="AY299" s="1193"/>
      <c r="AZ299" s="1193"/>
      <c r="BA299" s="1193"/>
      <c r="BC299" s="1193"/>
      <c r="BE299" s="1193"/>
      <c r="BF299" s="1193"/>
      <c r="BG299" s="1193"/>
    </row>
    <row r="300" spans="18:59" x14ac:dyDescent="0.35">
      <c r="R300" s="1193"/>
      <c r="S300" s="1193"/>
      <c r="W300" s="1193"/>
      <c r="X300" s="1193"/>
      <c r="AE300" s="1193"/>
      <c r="AF300" s="1193"/>
      <c r="AV300" s="1193"/>
      <c r="AW300" s="1193"/>
      <c r="AX300" s="1193"/>
      <c r="AY300" s="1193"/>
      <c r="AZ300" s="1193"/>
      <c r="BA300" s="1193"/>
      <c r="BC300" s="1193"/>
      <c r="BE300" s="1193"/>
      <c r="BF300" s="1193"/>
      <c r="BG300" s="1193"/>
    </row>
    <row r="301" spans="18:59" x14ac:dyDescent="0.35">
      <c r="R301" s="1193"/>
      <c r="S301" s="1193"/>
      <c r="W301" s="1193"/>
      <c r="X301" s="1193"/>
      <c r="AE301" s="1193"/>
      <c r="AF301" s="1193"/>
      <c r="AV301" s="1193"/>
      <c r="AW301" s="1193"/>
      <c r="AX301" s="1193"/>
      <c r="AY301" s="1193"/>
      <c r="AZ301" s="1193"/>
      <c r="BA301" s="1193"/>
      <c r="BC301" s="1193"/>
      <c r="BE301" s="1193"/>
      <c r="BF301" s="1193"/>
      <c r="BG301" s="1193"/>
    </row>
    <row r="302" spans="18:59" x14ac:dyDescent="0.35">
      <c r="R302" s="1193"/>
      <c r="S302" s="1193"/>
      <c r="W302" s="1193"/>
      <c r="X302" s="1193"/>
      <c r="AE302" s="1193"/>
      <c r="AF302" s="1193"/>
      <c r="AV302" s="1193"/>
      <c r="AW302" s="1193"/>
      <c r="AX302" s="1193"/>
      <c r="AY302" s="1193"/>
      <c r="AZ302" s="1193"/>
      <c r="BA302" s="1193"/>
      <c r="BC302" s="1193"/>
      <c r="BE302" s="1193"/>
      <c r="BF302" s="1193"/>
      <c r="BG302" s="1193"/>
    </row>
    <row r="303" spans="18:59" x14ac:dyDescent="0.35">
      <c r="R303" s="1193"/>
      <c r="S303" s="1193"/>
      <c r="W303" s="1193"/>
      <c r="X303" s="1193"/>
      <c r="AE303" s="1193"/>
      <c r="AF303" s="1193"/>
      <c r="AV303" s="1193"/>
      <c r="AW303" s="1193"/>
      <c r="AX303" s="1193"/>
      <c r="AY303" s="1193"/>
      <c r="AZ303" s="1193"/>
      <c r="BA303" s="1193"/>
      <c r="BC303" s="1193"/>
      <c r="BE303" s="1193"/>
      <c r="BF303" s="1193"/>
      <c r="BG303" s="1193"/>
    </row>
    <row r="304" spans="18:59" x14ac:dyDescent="0.35">
      <c r="R304" s="1193"/>
      <c r="S304" s="1193"/>
      <c r="W304" s="1193"/>
      <c r="X304" s="1193"/>
      <c r="AE304" s="1193"/>
      <c r="AF304" s="1193"/>
      <c r="AV304" s="1193"/>
      <c r="AW304" s="1193"/>
      <c r="AX304" s="1193"/>
      <c r="AY304" s="1193"/>
      <c r="AZ304" s="1193"/>
      <c r="BA304" s="1193"/>
      <c r="BC304" s="1193"/>
      <c r="BE304" s="1193"/>
      <c r="BF304" s="1193"/>
      <c r="BG304" s="1193"/>
    </row>
    <row r="305" spans="18:59" x14ac:dyDescent="0.35">
      <c r="R305" s="1193"/>
      <c r="S305" s="1193"/>
      <c r="W305" s="1193"/>
      <c r="X305" s="1193"/>
      <c r="AE305" s="1193"/>
      <c r="AF305" s="1193"/>
      <c r="AV305" s="1193"/>
      <c r="AW305" s="1193"/>
      <c r="AX305" s="1193"/>
      <c r="AY305" s="1193"/>
      <c r="AZ305" s="1193"/>
      <c r="BA305" s="1193"/>
      <c r="BC305" s="1193"/>
      <c r="BE305" s="1193"/>
      <c r="BF305" s="1193"/>
      <c r="BG305" s="1193"/>
    </row>
    <row r="306" spans="18:59" x14ac:dyDescent="0.35">
      <c r="R306" s="1193"/>
      <c r="S306" s="1193"/>
      <c r="W306" s="1193"/>
      <c r="X306" s="1193"/>
      <c r="AE306" s="1193"/>
      <c r="AF306" s="1193"/>
      <c r="AV306" s="1193"/>
      <c r="AW306" s="1193"/>
      <c r="AX306" s="1193"/>
      <c r="AY306" s="1193"/>
      <c r="AZ306" s="1193"/>
      <c r="BA306" s="1193"/>
      <c r="BC306" s="1193"/>
      <c r="BE306" s="1193"/>
      <c r="BF306" s="1193"/>
      <c r="BG306" s="1193"/>
    </row>
    <row r="307" spans="18:59" x14ac:dyDescent="0.35">
      <c r="R307" s="1193"/>
      <c r="S307" s="1193"/>
      <c r="W307" s="1193"/>
      <c r="X307" s="1193"/>
      <c r="AE307" s="1193"/>
      <c r="AF307" s="1193"/>
      <c r="AV307" s="1193"/>
      <c r="AW307" s="1193"/>
      <c r="AX307" s="1193"/>
      <c r="AY307" s="1193"/>
      <c r="AZ307" s="1193"/>
      <c r="BA307" s="1193"/>
      <c r="BC307" s="1193"/>
      <c r="BE307" s="1193"/>
      <c r="BF307" s="1193"/>
      <c r="BG307" s="1193"/>
    </row>
    <row r="308" spans="18:59" x14ac:dyDescent="0.35">
      <c r="R308" s="1193"/>
      <c r="S308" s="1193"/>
      <c r="W308" s="1193"/>
      <c r="X308" s="1193"/>
      <c r="AE308" s="1193"/>
      <c r="AF308" s="1193"/>
      <c r="AV308" s="1193"/>
      <c r="AW308" s="1193"/>
      <c r="AX308" s="1193"/>
      <c r="AY308" s="1193"/>
      <c r="AZ308" s="1193"/>
      <c r="BA308" s="1193"/>
      <c r="BC308" s="1193"/>
      <c r="BE308" s="1193"/>
      <c r="BF308" s="1193"/>
      <c r="BG308" s="1193"/>
    </row>
    <row r="309" spans="18:59" x14ac:dyDescent="0.35">
      <c r="R309" s="1193"/>
      <c r="S309" s="1193"/>
      <c r="W309" s="1193"/>
      <c r="X309" s="1193"/>
      <c r="AE309" s="1193"/>
      <c r="AF309" s="1193"/>
      <c r="AV309" s="1193"/>
      <c r="AW309" s="1193"/>
      <c r="AX309" s="1193"/>
      <c r="AY309" s="1193"/>
      <c r="AZ309" s="1193"/>
      <c r="BA309" s="1193"/>
      <c r="BC309" s="1193"/>
      <c r="BE309" s="1193"/>
      <c r="BF309" s="1193"/>
      <c r="BG309" s="1193"/>
    </row>
    <row r="310" spans="18:59" x14ac:dyDescent="0.35">
      <c r="R310" s="1193"/>
      <c r="S310" s="1193"/>
      <c r="W310" s="1193"/>
      <c r="X310" s="1193"/>
      <c r="AE310" s="1193"/>
      <c r="AF310" s="1193"/>
      <c r="AV310" s="1193"/>
      <c r="AW310" s="1193"/>
      <c r="AX310" s="1193"/>
      <c r="AY310" s="1193"/>
      <c r="AZ310" s="1193"/>
      <c r="BA310" s="1193"/>
      <c r="BC310" s="1193"/>
      <c r="BE310" s="1193"/>
      <c r="BF310" s="1193"/>
      <c r="BG310" s="1193"/>
    </row>
    <row r="311" spans="18:59" x14ac:dyDescent="0.35">
      <c r="R311" s="1193"/>
      <c r="S311" s="1193"/>
      <c r="W311" s="1193"/>
      <c r="X311" s="1193"/>
      <c r="AE311" s="1193"/>
      <c r="AF311" s="1193"/>
      <c r="AV311" s="1193"/>
      <c r="AW311" s="1193"/>
      <c r="AX311" s="1193"/>
      <c r="AY311" s="1193"/>
      <c r="AZ311" s="1193"/>
      <c r="BA311" s="1193"/>
      <c r="BC311" s="1193"/>
      <c r="BE311" s="1193"/>
      <c r="BF311" s="1193"/>
      <c r="BG311" s="1193"/>
    </row>
    <row r="312" spans="18:59" x14ac:dyDescent="0.35">
      <c r="R312" s="1193"/>
      <c r="S312" s="1193"/>
      <c r="W312" s="1193"/>
      <c r="X312" s="1193"/>
      <c r="AE312" s="1193"/>
      <c r="AF312" s="1193"/>
      <c r="AV312" s="1193"/>
      <c r="AW312" s="1193"/>
      <c r="AX312" s="1193"/>
      <c r="AY312" s="1193"/>
      <c r="AZ312" s="1193"/>
      <c r="BA312" s="1193"/>
      <c r="BC312" s="1193"/>
      <c r="BE312" s="1193"/>
      <c r="BF312" s="1193"/>
      <c r="BG312" s="1193"/>
    </row>
    <row r="313" spans="18:59" x14ac:dyDescent="0.35">
      <c r="R313" s="1193"/>
      <c r="S313" s="1193"/>
      <c r="W313" s="1193"/>
      <c r="X313" s="1193"/>
      <c r="AE313" s="1193"/>
      <c r="AF313" s="1193"/>
      <c r="AV313" s="1193"/>
      <c r="AW313" s="1193"/>
      <c r="AX313" s="1193"/>
      <c r="AY313" s="1193"/>
      <c r="AZ313" s="1193"/>
      <c r="BA313" s="1193"/>
      <c r="BC313" s="1193"/>
      <c r="BE313" s="1193"/>
      <c r="BF313" s="1193"/>
      <c r="BG313" s="1193"/>
    </row>
    <row r="314" spans="18:59" x14ac:dyDescent="0.35">
      <c r="R314" s="1193"/>
      <c r="S314" s="1193"/>
      <c r="W314" s="1193"/>
      <c r="X314" s="1193"/>
      <c r="AE314" s="1193"/>
      <c r="AF314" s="1193"/>
      <c r="AV314" s="1193"/>
      <c r="AW314" s="1193"/>
      <c r="AX314" s="1193"/>
      <c r="AY314" s="1193"/>
      <c r="AZ314" s="1193"/>
      <c r="BA314" s="1193"/>
      <c r="BC314" s="1193"/>
      <c r="BE314" s="1193"/>
      <c r="BF314" s="1193"/>
      <c r="BG314" s="1193"/>
    </row>
    <row r="315" spans="18:59" x14ac:dyDescent="0.35">
      <c r="R315" s="1193"/>
      <c r="S315" s="1193"/>
      <c r="W315" s="1193"/>
      <c r="X315" s="1193"/>
      <c r="AE315" s="1193"/>
      <c r="AF315" s="1193"/>
      <c r="AV315" s="1193"/>
      <c r="AW315" s="1193"/>
      <c r="AX315" s="1193"/>
      <c r="AY315" s="1193"/>
      <c r="AZ315" s="1193"/>
      <c r="BA315" s="1193"/>
      <c r="BC315" s="1193"/>
      <c r="BE315" s="1193"/>
      <c r="BF315" s="1193"/>
      <c r="BG315" s="1193"/>
    </row>
    <row r="316" spans="18:59" x14ac:dyDescent="0.35">
      <c r="R316" s="1193"/>
      <c r="S316" s="1193"/>
      <c r="W316" s="1193"/>
      <c r="X316" s="1193"/>
      <c r="AE316" s="1193"/>
      <c r="AF316" s="1193"/>
      <c r="AV316" s="1193"/>
      <c r="AW316" s="1193"/>
      <c r="AX316" s="1193"/>
      <c r="AY316" s="1193"/>
      <c r="AZ316" s="1193"/>
      <c r="BA316" s="1193"/>
      <c r="BC316" s="1193"/>
      <c r="BE316" s="1193"/>
      <c r="BF316" s="1193"/>
      <c r="BG316" s="1193"/>
    </row>
    <row r="317" spans="18:59" x14ac:dyDescent="0.35">
      <c r="R317" s="1193"/>
      <c r="S317" s="1193"/>
      <c r="W317" s="1193"/>
      <c r="X317" s="1193"/>
      <c r="AE317" s="1193"/>
      <c r="AF317" s="1193"/>
      <c r="AV317" s="1193"/>
      <c r="AW317" s="1193"/>
      <c r="AX317" s="1193"/>
      <c r="AY317" s="1193"/>
      <c r="AZ317" s="1193"/>
      <c r="BA317" s="1193"/>
      <c r="BC317" s="1193"/>
      <c r="BE317" s="1193"/>
      <c r="BF317" s="1193"/>
      <c r="BG317" s="1193"/>
    </row>
    <row r="318" spans="18:59" x14ac:dyDescent="0.35">
      <c r="R318" s="1193"/>
      <c r="S318" s="1193"/>
      <c r="W318" s="1193"/>
      <c r="X318" s="1193"/>
      <c r="AE318" s="1193"/>
      <c r="AF318" s="1193"/>
      <c r="AV318" s="1193"/>
      <c r="AW318" s="1193"/>
      <c r="AX318" s="1193"/>
      <c r="AY318" s="1193"/>
      <c r="AZ318" s="1193"/>
      <c r="BA318" s="1193"/>
      <c r="BC318" s="1193"/>
      <c r="BE318" s="1193"/>
      <c r="BF318" s="1193"/>
      <c r="BG318" s="1193"/>
    </row>
    <row r="319" spans="18:59" x14ac:dyDescent="0.35">
      <c r="R319" s="1193"/>
      <c r="S319" s="1193"/>
      <c r="W319" s="1193"/>
      <c r="X319" s="1193"/>
      <c r="AE319" s="1193"/>
      <c r="AF319" s="1193"/>
      <c r="AV319" s="1193"/>
      <c r="AW319" s="1193"/>
      <c r="AX319" s="1193"/>
      <c r="AY319" s="1193"/>
      <c r="AZ319" s="1193"/>
      <c r="BA319" s="1193"/>
      <c r="BC319" s="1193"/>
      <c r="BE319" s="1193"/>
      <c r="BF319" s="1193"/>
      <c r="BG319" s="1193"/>
    </row>
    <row r="320" spans="18:59" x14ac:dyDescent="0.35">
      <c r="R320" s="1193"/>
      <c r="S320" s="1193"/>
      <c r="W320" s="1193"/>
      <c r="X320" s="1193"/>
      <c r="AE320" s="1193"/>
      <c r="AF320" s="1193"/>
      <c r="AV320" s="1193"/>
      <c r="AW320" s="1193"/>
      <c r="AX320" s="1193"/>
      <c r="AY320" s="1193"/>
      <c r="AZ320" s="1193"/>
      <c r="BA320" s="1193"/>
      <c r="BC320" s="1193"/>
      <c r="BE320" s="1193"/>
      <c r="BF320" s="1193"/>
      <c r="BG320" s="1193"/>
    </row>
    <row r="321" spans="18:59" x14ac:dyDescent="0.35">
      <c r="R321" s="1193"/>
      <c r="S321" s="1193"/>
      <c r="W321" s="1193"/>
      <c r="X321" s="1193"/>
      <c r="AE321" s="1193"/>
      <c r="AF321" s="1193"/>
      <c r="AV321" s="1193"/>
      <c r="AW321" s="1193"/>
      <c r="AX321" s="1193"/>
      <c r="AY321" s="1193"/>
      <c r="AZ321" s="1193"/>
      <c r="BA321" s="1193"/>
      <c r="BC321" s="1193"/>
      <c r="BE321" s="1193"/>
      <c r="BF321" s="1193"/>
      <c r="BG321" s="1193"/>
    </row>
    <row r="322" spans="18:59" x14ac:dyDescent="0.35">
      <c r="R322" s="1193"/>
      <c r="S322" s="1193"/>
      <c r="W322" s="1193"/>
      <c r="X322" s="1193"/>
      <c r="AE322" s="1193"/>
      <c r="AF322" s="1193"/>
      <c r="AV322" s="1193"/>
      <c r="AW322" s="1193"/>
      <c r="AX322" s="1193"/>
      <c r="AY322" s="1193"/>
      <c r="AZ322" s="1193"/>
      <c r="BA322" s="1193"/>
      <c r="BC322" s="1193"/>
      <c r="BE322" s="1193"/>
      <c r="BF322" s="1193"/>
      <c r="BG322" s="1193"/>
    </row>
    <row r="323" spans="18:59" x14ac:dyDescent="0.35">
      <c r="R323" s="1193"/>
      <c r="S323" s="1193"/>
      <c r="W323" s="1193"/>
      <c r="X323" s="1193"/>
      <c r="AE323" s="1193"/>
      <c r="AF323" s="1193"/>
      <c r="AV323" s="1193"/>
      <c r="AW323" s="1193"/>
      <c r="AX323" s="1193"/>
      <c r="AY323" s="1193"/>
      <c r="AZ323" s="1193"/>
      <c r="BA323" s="1193"/>
      <c r="BC323" s="1193"/>
      <c r="BE323" s="1193"/>
      <c r="BF323" s="1193"/>
      <c r="BG323" s="1193"/>
    </row>
    <row r="324" spans="18:59" x14ac:dyDescent="0.35">
      <c r="R324" s="1193"/>
      <c r="S324" s="1193"/>
      <c r="W324" s="1193"/>
      <c r="X324" s="1193"/>
      <c r="AE324" s="1193"/>
      <c r="AF324" s="1193"/>
      <c r="AV324" s="1193"/>
      <c r="AW324" s="1193"/>
      <c r="AX324" s="1193"/>
      <c r="AY324" s="1193"/>
      <c r="AZ324" s="1193"/>
      <c r="BA324" s="1193"/>
      <c r="BC324" s="1193"/>
      <c r="BE324" s="1193"/>
      <c r="BF324" s="1193"/>
      <c r="BG324" s="1193"/>
    </row>
    <row r="325" spans="18:59" x14ac:dyDescent="0.35">
      <c r="R325" s="1193"/>
      <c r="S325" s="1193"/>
      <c r="W325" s="1193"/>
      <c r="X325" s="1193"/>
      <c r="AE325" s="1193"/>
      <c r="AF325" s="1193"/>
      <c r="AV325" s="1193"/>
      <c r="AW325" s="1193"/>
      <c r="AX325" s="1193"/>
      <c r="AY325" s="1193"/>
      <c r="AZ325" s="1193"/>
      <c r="BA325" s="1193"/>
      <c r="BC325" s="1193"/>
      <c r="BE325" s="1193"/>
      <c r="BF325" s="1193"/>
      <c r="BG325" s="1193"/>
    </row>
    <row r="326" spans="18:59" x14ac:dyDescent="0.35">
      <c r="R326" s="1193"/>
      <c r="S326" s="1193"/>
      <c r="W326" s="1193"/>
      <c r="X326" s="1193"/>
      <c r="AE326" s="1193"/>
      <c r="AF326" s="1193"/>
      <c r="AV326" s="1193"/>
      <c r="AW326" s="1193"/>
      <c r="AX326" s="1193"/>
      <c r="AY326" s="1193"/>
      <c r="AZ326" s="1193"/>
      <c r="BA326" s="1193"/>
      <c r="BC326" s="1193"/>
      <c r="BE326" s="1193"/>
      <c r="BF326" s="1193"/>
      <c r="BG326" s="1193"/>
    </row>
    <row r="327" spans="18:59" x14ac:dyDescent="0.35">
      <c r="R327" s="1193"/>
      <c r="S327" s="1193"/>
      <c r="W327" s="1193"/>
      <c r="X327" s="1193"/>
      <c r="AE327" s="1193"/>
      <c r="AF327" s="1193"/>
      <c r="AV327" s="1193"/>
      <c r="AW327" s="1193"/>
      <c r="AX327" s="1193"/>
      <c r="AY327" s="1193"/>
      <c r="AZ327" s="1193"/>
      <c r="BA327" s="1193"/>
      <c r="BC327" s="1193"/>
      <c r="BE327" s="1193"/>
      <c r="BF327" s="1193"/>
      <c r="BG327" s="1193"/>
    </row>
    <row r="328" spans="18:59" x14ac:dyDescent="0.35">
      <c r="R328" s="1193"/>
      <c r="S328" s="1193"/>
      <c r="W328" s="1193"/>
      <c r="X328" s="1193"/>
      <c r="AE328" s="1193"/>
      <c r="AF328" s="1193"/>
      <c r="AV328" s="1193"/>
      <c r="AW328" s="1193"/>
      <c r="AX328" s="1193"/>
      <c r="AY328" s="1193"/>
      <c r="AZ328" s="1193"/>
      <c r="BA328" s="1193"/>
      <c r="BC328" s="1193"/>
      <c r="BE328" s="1193"/>
      <c r="BF328" s="1193"/>
      <c r="BG328" s="1193"/>
    </row>
    <row r="329" spans="18:59" x14ac:dyDescent="0.35">
      <c r="R329" s="1193"/>
      <c r="S329" s="1193"/>
      <c r="W329" s="1193"/>
      <c r="X329" s="1193"/>
      <c r="AE329" s="1193"/>
      <c r="AF329" s="1193"/>
      <c r="AV329" s="1193"/>
      <c r="AW329" s="1193"/>
      <c r="AX329" s="1193"/>
      <c r="AY329" s="1193"/>
      <c r="AZ329" s="1193"/>
      <c r="BA329" s="1193"/>
      <c r="BC329" s="1193"/>
      <c r="BE329" s="1193"/>
      <c r="BF329" s="1193"/>
      <c r="BG329" s="1193"/>
    </row>
    <row r="330" spans="18:59" x14ac:dyDescent="0.35">
      <c r="R330" s="1193"/>
      <c r="S330" s="1193"/>
      <c r="W330" s="1193"/>
      <c r="X330" s="1193"/>
      <c r="AE330" s="1193"/>
      <c r="AF330" s="1193"/>
      <c r="AV330" s="1193"/>
      <c r="AW330" s="1193"/>
      <c r="AX330" s="1193"/>
      <c r="AY330" s="1193"/>
      <c r="AZ330" s="1193"/>
      <c r="BA330" s="1193"/>
      <c r="BC330" s="1193"/>
      <c r="BE330" s="1193"/>
      <c r="BF330" s="1193"/>
      <c r="BG330" s="1193"/>
    </row>
    <row r="331" spans="18:59" x14ac:dyDescent="0.35">
      <c r="R331" s="1193"/>
      <c r="S331" s="1193"/>
      <c r="W331" s="1193"/>
      <c r="X331" s="1193"/>
      <c r="AE331" s="1193"/>
      <c r="AF331" s="1193"/>
      <c r="AV331" s="1193"/>
      <c r="AW331" s="1193"/>
      <c r="AX331" s="1193"/>
      <c r="AY331" s="1193"/>
      <c r="AZ331" s="1193"/>
      <c r="BA331" s="1193"/>
      <c r="BC331" s="1193"/>
      <c r="BE331" s="1193"/>
      <c r="BF331" s="1193"/>
      <c r="BG331" s="1193"/>
    </row>
    <row r="332" spans="18:59" x14ac:dyDescent="0.35">
      <c r="R332" s="1193"/>
      <c r="S332" s="1193"/>
      <c r="W332" s="1193"/>
      <c r="X332" s="1193"/>
      <c r="AE332" s="1193"/>
      <c r="AF332" s="1193"/>
      <c r="AV332" s="1193"/>
      <c r="AW332" s="1193"/>
      <c r="AX332" s="1193"/>
      <c r="AY332" s="1193"/>
      <c r="AZ332" s="1193"/>
      <c r="BA332" s="1193"/>
      <c r="BC332" s="1193"/>
      <c r="BE332" s="1193"/>
      <c r="BF332" s="1193"/>
      <c r="BG332" s="1193"/>
    </row>
    <row r="333" spans="18:59" x14ac:dyDescent="0.35">
      <c r="R333" s="1193"/>
      <c r="S333" s="1193"/>
      <c r="W333" s="1193"/>
      <c r="X333" s="1193"/>
      <c r="AE333" s="1193"/>
      <c r="AF333" s="1193"/>
      <c r="AV333" s="1193"/>
      <c r="AW333" s="1193"/>
      <c r="AX333" s="1193"/>
      <c r="AY333" s="1193"/>
      <c r="AZ333" s="1193"/>
      <c r="BA333" s="1193"/>
      <c r="BC333" s="1193"/>
      <c r="BE333" s="1193"/>
      <c r="BF333" s="1193"/>
      <c r="BG333" s="1193"/>
    </row>
    <row r="334" spans="18:59" x14ac:dyDescent="0.35">
      <c r="R334" s="1193"/>
      <c r="S334" s="1193"/>
      <c r="W334" s="1193"/>
      <c r="X334" s="1193"/>
      <c r="AE334" s="1193"/>
      <c r="AF334" s="1193"/>
      <c r="AV334" s="1193"/>
      <c r="AW334" s="1193"/>
      <c r="AX334" s="1193"/>
      <c r="AY334" s="1193"/>
      <c r="AZ334" s="1193"/>
      <c r="BA334" s="1193"/>
      <c r="BC334" s="1193"/>
      <c r="BE334" s="1193"/>
      <c r="BF334" s="1193"/>
      <c r="BG334" s="1193"/>
    </row>
    <row r="335" spans="18:59" x14ac:dyDescent="0.35">
      <c r="R335" s="1193"/>
      <c r="S335" s="1193"/>
      <c r="W335" s="1193"/>
      <c r="X335" s="1193"/>
      <c r="AE335" s="1193"/>
      <c r="AF335" s="1193"/>
      <c r="AV335" s="1193"/>
      <c r="AW335" s="1193"/>
      <c r="AX335" s="1193"/>
      <c r="AY335" s="1193"/>
      <c r="AZ335" s="1193"/>
      <c r="BA335" s="1193"/>
      <c r="BC335" s="1193"/>
      <c r="BE335" s="1193"/>
      <c r="BF335" s="1193"/>
      <c r="BG335" s="1193"/>
    </row>
    <row r="336" spans="18:59" x14ac:dyDescent="0.35">
      <c r="R336" s="1193"/>
      <c r="S336" s="1193"/>
      <c r="W336" s="1193"/>
      <c r="X336" s="1193"/>
      <c r="AE336" s="1193"/>
      <c r="AF336" s="1193"/>
      <c r="AV336" s="1193"/>
      <c r="AW336" s="1193"/>
      <c r="AX336" s="1193"/>
      <c r="AY336" s="1193"/>
      <c r="AZ336" s="1193"/>
      <c r="BA336" s="1193"/>
      <c r="BC336" s="1193"/>
      <c r="BE336" s="1193"/>
      <c r="BF336" s="1193"/>
      <c r="BG336" s="1193"/>
    </row>
    <row r="337" spans="18:59" x14ac:dyDescent="0.35">
      <c r="R337" s="1193"/>
      <c r="S337" s="1193"/>
      <c r="W337" s="1193"/>
      <c r="X337" s="1193"/>
      <c r="AE337" s="1193"/>
      <c r="AF337" s="1193"/>
      <c r="AV337" s="1193"/>
      <c r="AW337" s="1193"/>
      <c r="AX337" s="1193"/>
      <c r="AY337" s="1193"/>
      <c r="AZ337" s="1193"/>
      <c r="BA337" s="1193"/>
      <c r="BC337" s="1193"/>
      <c r="BE337" s="1193"/>
      <c r="BF337" s="1193"/>
      <c r="BG337" s="1193"/>
    </row>
    <row r="338" spans="18:59" x14ac:dyDescent="0.35">
      <c r="R338" s="1193"/>
      <c r="S338" s="1193"/>
      <c r="W338" s="1193"/>
      <c r="X338" s="1193"/>
      <c r="AE338" s="1193"/>
      <c r="AF338" s="1193"/>
      <c r="AV338" s="1193"/>
      <c r="AW338" s="1193"/>
      <c r="AX338" s="1193"/>
      <c r="AY338" s="1193"/>
      <c r="AZ338" s="1193"/>
      <c r="BA338" s="1193"/>
      <c r="BC338" s="1193"/>
      <c r="BE338" s="1193"/>
      <c r="BF338" s="1193"/>
      <c r="BG338" s="1193"/>
    </row>
    <row r="339" spans="18:59" x14ac:dyDescent="0.35">
      <c r="R339" s="1193"/>
      <c r="S339" s="1193"/>
      <c r="W339" s="1193"/>
      <c r="X339" s="1193"/>
      <c r="AE339" s="1193"/>
      <c r="AF339" s="1193"/>
      <c r="AV339" s="1193"/>
      <c r="AW339" s="1193"/>
      <c r="AX339" s="1193"/>
      <c r="AY339" s="1193"/>
      <c r="AZ339" s="1193"/>
      <c r="BA339" s="1193"/>
      <c r="BC339" s="1193"/>
      <c r="BE339" s="1193"/>
      <c r="BF339" s="1193"/>
      <c r="BG339" s="1193"/>
    </row>
    <row r="340" spans="18:59" x14ac:dyDescent="0.35">
      <c r="R340" s="1193"/>
      <c r="S340" s="1193"/>
      <c r="W340" s="1193"/>
      <c r="X340" s="1193"/>
      <c r="AE340" s="1193"/>
      <c r="AF340" s="1193"/>
      <c r="AV340" s="1193"/>
      <c r="AW340" s="1193"/>
      <c r="AX340" s="1193"/>
      <c r="AY340" s="1193"/>
      <c r="AZ340" s="1193"/>
      <c r="BA340" s="1193"/>
      <c r="BC340" s="1193"/>
      <c r="BE340" s="1193"/>
      <c r="BF340" s="1193"/>
      <c r="BG340" s="1193"/>
    </row>
    <row r="341" spans="18:59" x14ac:dyDescent="0.35">
      <c r="R341" s="1193"/>
      <c r="S341" s="1193"/>
      <c r="W341" s="1193"/>
      <c r="X341" s="1193"/>
      <c r="AE341" s="1193"/>
      <c r="AF341" s="1193"/>
      <c r="AV341" s="1193"/>
      <c r="AW341" s="1193"/>
      <c r="AX341" s="1193"/>
      <c r="AY341" s="1193"/>
      <c r="AZ341" s="1193"/>
      <c r="BA341" s="1193"/>
      <c r="BC341" s="1193"/>
      <c r="BE341" s="1193"/>
      <c r="BF341" s="1193"/>
      <c r="BG341" s="1193"/>
    </row>
    <row r="342" spans="18:59" x14ac:dyDescent="0.35">
      <c r="R342" s="1193"/>
      <c r="S342" s="1193"/>
      <c r="W342" s="1193"/>
      <c r="X342" s="1193"/>
      <c r="AE342" s="1193"/>
      <c r="AF342" s="1193"/>
      <c r="AV342" s="1193"/>
      <c r="AW342" s="1193"/>
      <c r="AX342" s="1193"/>
      <c r="AY342" s="1193"/>
      <c r="AZ342" s="1193"/>
      <c r="BA342" s="1193"/>
      <c r="BC342" s="1193"/>
      <c r="BE342" s="1193"/>
      <c r="BF342" s="1193"/>
      <c r="BG342" s="1193"/>
    </row>
    <row r="343" spans="18:59" x14ac:dyDescent="0.35">
      <c r="R343" s="1193"/>
      <c r="S343" s="1193"/>
      <c r="W343" s="1193"/>
      <c r="X343" s="1193"/>
      <c r="AE343" s="1193"/>
      <c r="AF343" s="1193"/>
      <c r="AV343" s="1193"/>
      <c r="AW343" s="1193"/>
      <c r="AX343" s="1193"/>
      <c r="AY343" s="1193"/>
      <c r="AZ343" s="1193"/>
      <c r="BA343" s="1193"/>
      <c r="BC343" s="1193"/>
      <c r="BE343" s="1193"/>
      <c r="BF343" s="1193"/>
      <c r="BG343" s="1193"/>
    </row>
    <row r="344" spans="18:59" x14ac:dyDescent="0.35">
      <c r="R344" s="1193"/>
      <c r="S344" s="1193"/>
      <c r="W344" s="1193"/>
      <c r="X344" s="1193"/>
      <c r="AE344" s="1193"/>
      <c r="AF344" s="1193"/>
      <c r="AV344" s="1193"/>
      <c r="AW344" s="1193"/>
      <c r="AX344" s="1193"/>
      <c r="AY344" s="1193"/>
      <c r="AZ344" s="1193"/>
      <c r="BA344" s="1193"/>
      <c r="BC344" s="1193"/>
      <c r="BE344" s="1193"/>
      <c r="BF344" s="1193"/>
      <c r="BG344" s="1193"/>
    </row>
    <row r="345" spans="18:59" x14ac:dyDescent="0.35">
      <c r="R345" s="1193"/>
      <c r="S345" s="1193"/>
      <c r="W345" s="1193"/>
      <c r="X345" s="1193"/>
      <c r="AE345" s="1193"/>
      <c r="AF345" s="1193"/>
      <c r="AV345" s="1193"/>
      <c r="AW345" s="1193"/>
      <c r="AX345" s="1193"/>
      <c r="AY345" s="1193"/>
      <c r="AZ345" s="1193"/>
      <c r="BA345" s="1193"/>
      <c r="BC345" s="1193"/>
      <c r="BE345" s="1193"/>
      <c r="BF345" s="1193"/>
      <c r="BG345" s="1193"/>
    </row>
    <row r="346" spans="18:59" x14ac:dyDescent="0.35">
      <c r="R346" s="1193"/>
      <c r="S346" s="1193"/>
      <c r="W346" s="1193"/>
      <c r="X346" s="1193"/>
      <c r="AE346" s="1193"/>
      <c r="AF346" s="1193"/>
      <c r="AV346" s="1193"/>
      <c r="AW346" s="1193"/>
      <c r="AX346" s="1193"/>
      <c r="AY346" s="1193"/>
      <c r="AZ346" s="1193"/>
      <c r="BA346" s="1193"/>
      <c r="BC346" s="1193"/>
      <c r="BE346" s="1193"/>
      <c r="BF346" s="1193"/>
      <c r="BG346" s="1193"/>
    </row>
    <row r="347" spans="18:59" x14ac:dyDescent="0.35">
      <c r="R347" s="1193"/>
      <c r="S347" s="1193"/>
      <c r="W347" s="1193"/>
      <c r="X347" s="1193"/>
      <c r="AE347" s="1193"/>
      <c r="AF347" s="1193"/>
      <c r="AV347" s="1193"/>
      <c r="AW347" s="1193"/>
      <c r="AX347" s="1193"/>
      <c r="AY347" s="1193"/>
      <c r="AZ347" s="1193"/>
      <c r="BA347" s="1193"/>
      <c r="BC347" s="1193"/>
      <c r="BE347" s="1193"/>
      <c r="BF347" s="1193"/>
      <c r="BG347" s="1193"/>
    </row>
    <row r="348" spans="18:59" x14ac:dyDescent="0.35">
      <c r="R348" s="1193"/>
      <c r="S348" s="1193"/>
      <c r="W348" s="1193"/>
      <c r="X348" s="1193"/>
      <c r="AE348" s="1193"/>
      <c r="AF348" s="1193"/>
      <c r="AV348" s="1193"/>
      <c r="AW348" s="1193"/>
      <c r="AX348" s="1193"/>
      <c r="AY348" s="1193"/>
      <c r="AZ348" s="1193"/>
      <c r="BA348" s="1193"/>
      <c r="BC348" s="1193"/>
      <c r="BE348" s="1193"/>
      <c r="BF348" s="1193"/>
      <c r="BG348" s="1193"/>
    </row>
    <row r="349" spans="18:59" x14ac:dyDescent="0.35">
      <c r="R349" s="1193"/>
      <c r="S349" s="1193"/>
      <c r="W349" s="1193"/>
      <c r="X349" s="1193"/>
      <c r="AE349" s="1193"/>
      <c r="AF349" s="1193"/>
      <c r="AV349" s="1193"/>
      <c r="AW349" s="1193"/>
      <c r="AX349" s="1193"/>
      <c r="AY349" s="1193"/>
      <c r="AZ349" s="1193"/>
      <c r="BA349" s="1193"/>
      <c r="BC349" s="1193"/>
      <c r="BE349" s="1193"/>
      <c r="BF349" s="1193"/>
      <c r="BG349" s="1193"/>
    </row>
    <row r="350" spans="18:59" x14ac:dyDescent="0.35">
      <c r="R350" s="1193"/>
      <c r="S350" s="1193"/>
      <c r="W350" s="1193"/>
      <c r="X350" s="1193"/>
      <c r="AE350" s="1193"/>
      <c r="AF350" s="1193"/>
      <c r="AV350" s="1193"/>
      <c r="AW350" s="1193"/>
      <c r="AX350" s="1193"/>
      <c r="AY350" s="1193"/>
      <c r="AZ350" s="1193"/>
      <c r="BA350" s="1193"/>
      <c r="BC350" s="1193"/>
      <c r="BE350" s="1193"/>
      <c r="BF350" s="1193"/>
      <c r="BG350" s="1193"/>
    </row>
    <row r="351" spans="18:59" x14ac:dyDescent="0.35">
      <c r="R351" s="1193"/>
      <c r="S351" s="1193"/>
      <c r="W351" s="1193"/>
      <c r="X351" s="1193"/>
      <c r="AE351" s="1193"/>
      <c r="AF351" s="1193"/>
      <c r="AV351" s="1193"/>
      <c r="AW351" s="1193"/>
      <c r="AX351" s="1193"/>
      <c r="AY351" s="1193"/>
      <c r="AZ351" s="1193"/>
      <c r="BA351" s="1193"/>
      <c r="BC351" s="1193"/>
      <c r="BE351" s="1193"/>
      <c r="BF351" s="1193"/>
      <c r="BG351" s="1193"/>
    </row>
    <row r="352" spans="18:59" x14ac:dyDescent="0.35">
      <c r="R352" s="1193"/>
      <c r="S352" s="1193"/>
      <c r="W352" s="1193"/>
      <c r="X352" s="1193"/>
      <c r="AE352" s="1193"/>
      <c r="AF352" s="1193"/>
      <c r="AV352" s="1193"/>
      <c r="AW352" s="1193"/>
      <c r="AX352" s="1193"/>
      <c r="AY352" s="1193"/>
      <c r="AZ352" s="1193"/>
      <c r="BA352" s="1193"/>
      <c r="BC352" s="1193"/>
      <c r="BE352" s="1193"/>
      <c r="BF352" s="1193"/>
      <c r="BG352" s="1193"/>
    </row>
    <row r="353" spans="18:59" x14ac:dyDescent="0.35">
      <c r="R353" s="1193"/>
      <c r="S353" s="1193"/>
      <c r="W353" s="1193"/>
      <c r="X353" s="1193"/>
      <c r="AE353" s="1193"/>
      <c r="AF353" s="1193"/>
      <c r="AV353" s="1193"/>
      <c r="AW353" s="1193"/>
      <c r="AX353" s="1193"/>
      <c r="AY353" s="1193"/>
      <c r="AZ353" s="1193"/>
      <c r="BA353" s="1193"/>
      <c r="BC353" s="1193"/>
      <c r="BE353" s="1193"/>
      <c r="BF353" s="1193"/>
      <c r="BG353" s="1193"/>
    </row>
    <row r="354" spans="18:59" x14ac:dyDescent="0.35">
      <c r="R354" s="1193"/>
      <c r="S354" s="1193"/>
      <c r="W354" s="1193"/>
      <c r="X354" s="1193"/>
      <c r="AE354" s="1193"/>
      <c r="AF354" s="1193"/>
      <c r="AV354" s="1193"/>
      <c r="AW354" s="1193"/>
      <c r="AX354" s="1193"/>
      <c r="AY354" s="1193"/>
      <c r="AZ354" s="1193"/>
      <c r="BA354" s="1193"/>
      <c r="BC354" s="1193"/>
      <c r="BE354" s="1193"/>
      <c r="BF354" s="1193"/>
      <c r="BG354" s="1193"/>
    </row>
    <row r="355" spans="18:59" x14ac:dyDescent="0.35">
      <c r="R355" s="1193"/>
      <c r="S355" s="1193"/>
      <c r="W355" s="1193"/>
      <c r="X355" s="1193"/>
      <c r="AE355" s="1193"/>
      <c r="AF355" s="1193"/>
      <c r="AV355" s="1193"/>
      <c r="AW355" s="1193"/>
      <c r="AX355" s="1193"/>
      <c r="AY355" s="1193"/>
      <c r="AZ355" s="1193"/>
      <c r="BA355" s="1193"/>
      <c r="BC355" s="1193"/>
      <c r="BE355" s="1193"/>
      <c r="BF355" s="1193"/>
      <c r="BG355" s="1193"/>
    </row>
    <row r="356" spans="18:59" x14ac:dyDescent="0.35">
      <c r="R356" s="1193"/>
      <c r="S356" s="1193"/>
      <c r="W356" s="1193"/>
      <c r="X356" s="1193"/>
      <c r="AE356" s="1193"/>
      <c r="AF356" s="1193"/>
      <c r="AV356" s="1193"/>
      <c r="AW356" s="1193"/>
      <c r="AX356" s="1193"/>
      <c r="AY356" s="1193"/>
      <c r="AZ356" s="1193"/>
      <c r="BA356" s="1193"/>
      <c r="BC356" s="1193"/>
      <c r="BE356" s="1193"/>
      <c r="BF356" s="1193"/>
      <c r="BG356" s="1193"/>
    </row>
    <row r="357" spans="18:59" x14ac:dyDescent="0.35">
      <c r="R357" s="1193"/>
      <c r="S357" s="1193"/>
      <c r="W357" s="1193"/>
      <c r="X357" s="1193"/>
      <c r="AE357" s="1193"/>
      <c r="AF357" s="1193"/>
      <c r="AV357" s="1193"/>
      <c r="AW357" s="1193"/>
      <c r="AX357" s="1193"/>
      <c r="AY357" s="1193"/>
      <c r="AZ357" s="1193"/>
      <c r="BA357" s="1193"/>
      <c r="BC357" s="1193"/>
      <c r="BE357" s="1193"/>
      <c r="BF357" s="1193"/>
      <c r="BG357" s="1193"/>
    </row>
    <row r="358" spans="18:59" x14ac:dyDescent="0.35">
      <c r="R358" s="1193"/>
      <c r="S358" s="1193"/>
      <c r="W358" s="1193"/>
      <c r="X358" s="1193"/>
      <c r="AE358" s="1193"/>
      <c r="AF358" s="1193"/>
      <c r="AV358" s="1193"/>
      <c r="AW358" s="1193"/>
      <c r="AX358" s="1193"/>
      <c r="AY358" s="1193"/>
      <c r="AZ358" s="1193"/>
      <c r="BA358" s="1193"/>
      <c r="BC358" s="1193"/>
      <c r="BE358" s="1193"/>
      <c r="BF358" s="1193"/>
      <c r="BG358" s="1193"/>
    </row>
    <row r="359" spans="18:59" x14ac:dyDescent="0.35">
      <c r="R359" s="1193"/>
      <c r="S359" s="1193"/>
      <c r="W359" s="1193"/>
      <c r="X359" s="1193"/>
      <c r="AE359" s="1193"/>
      <c r="AF359" s="1193"/>
      <c r="AV359" s="1193"/>
      <c r="AW359" s="1193"/>
      <c r="AX359" s="1193"/>
      <c r="AY359" s="1193"/>
      <c r="AZ359" s="1193"/>
      <c r="BA359" s="1193"/>
      <c r="BC359" s="1193"/>
      <c r="BE359" s="1193"/>
      <c r="BF359" s="1193"/>
      <c r="BG359" s="1193"/>
    </row>
    <row r="360" spans="18:59" x14ac:dyDescent="0.35">
      <c r="R360" s="1193"/>
      <c r="S360" s="1193"/>
      <c r="W360" s="1193"/>
      <c r="X360" s="1193"/>
      <c r="AE360" s="1193"/>
      <c r="AF360" s="1193"/>
      <c r="AV360" s="1193"/>
      <c r="AW360" s="1193"/>
      <c r="AX360" s="1193"/>
      <c r="AY360" s="1193"/>
      <c r="AZ360" s="1193"/>
      <c r="BA360" s="1193"/>
      <c r="BC360" s="1193"/>
      <c r="BE360" s="1193"/>
      <c r="BF360" s="1193"/>
      <c r="BG360" s="1193"/>
    </row>
    <row r="361" spans="18:59" x14ac:dyDescent="0.35">
      <c r="R361" s="1193"/>
      <c r="S361" s="1193"/>
      <c r="W361" s="1193"/>
      <c r="X361" s="1193"/>
      <c r="AE361" s="1193"/>
      <c r="AF361" s="1193"/>
      <c r="AV361" s="1193"/>
      <c r="AW361" s="1193"/>
      <c r="AX361" s="1193"/>
      <c r="AY361" s="1193"/>
      <c r="AZ361" s="1193"/>
      <c r="BA361" s="1193"/>
      <c r="BC361" s="1193"/>
      <c r="BE361" s="1193"/>
      <c r="BF361" s="1193"/>
      <c r="BG361" s="1193"/>
    </row>
    <row r="362" spans="18:59" x14ac:dyDescent="0.35">
      <c r="R362" s="1193"/>
      <c r="S362" s="1193"/>
      <c r="W362" s="1193"/>
      <c r="X362" s="1193"/>
      <c r="AE362" s="1193"/>
      <c r="AF362" s="1193"/>
      <c r="AV362" s="1193"/>
      <c r="AW362" s="1193"/>
      <c r="AX362" s="1193"/>
      <c r="AY362" s="1193"/>
      <c r="AZ362" s="1193"/>
      <c r="BA362" s="1193"/>
      <c r="BC362" s="1193"/>
      <c r="BE362" s="1193"/>
      <c r="BF362" s="1193"/>
      <c r="BG362" s="1193"/>
    </row>
    <row r="363" spans="18:59" x14ac:dyDescent="0.35">
      <c r="R363" s="1193"/>
      <c r="S363" s="1193"/>
      <c r="W363" s="1193"/>
      <c r="X363" s="1193"/>
      <c r="AE363" s="1193"/>
      <c r="AF363" s="1193"/>
      <c r="AV363" s="1193"/>
      <c r="AW363" s="1193"/>
      <c r="AX363" s="1193"/>
      <c r="AY363" s="1193"/>
      <c r="AZ363" s="1193"/>
      <c r="BA363" s="1193"/>
      <c r="BC363" s="1193"/>
      <c r="BE363" s="1193"/>
      <c r="BF363" s="1193"/>
      <c r="BG363" s="1193"/>
    </row>
    <row r="364" spans="18:59" x14ac:dyDescent="0.35">
      <c r="R364" s="1193"/>
      <c r="S364" s="1193"/>
      <c r="W364" s="1193"/>
      <c r="X364" s="1193"/>
      <c r="AE364" s="1193"/>
      <c r="AF364" s="1193"/>
      <c r="AV364" s="1193"/>
      <c r="AW364" s="1193"/>
      <c r="AX364" s="1193"/>
      <c r="AY364" s="1193"/>
      <c r="AZ364" s="1193"/>
      <c r="BA364" s="1193"/>
      <c r="BC364" s="1193"/>
      <c r="BE364" s="1193"/>
      <c r="BF364" s="1193"/>
      <c r="BG364" s="1193"/>
    </row>
    <row r="365" spans="18:59" x14ac:dyDescent="0.35">
      <c r="R365" s="1193"/>
      <c r="S365" s="1193"/>
      <c r="W365" s="1193"/>
      <c r="X365" s="1193"/>
      <c r="AE365" s="1193"/>
      <c r="AF365" s="1193"/>
      <c r="AV365" s="1193"/>
      <c r="AW365" s="1193"/>
      <c r="AX365" s="1193"/>
      <c r="AY365" s="1193"/>
      <c r="AZ365" s="1193"/>
      <c r="BA365" s="1193"/>
      <c r="BC365" s="1193"/>
      <c r="BE365" s="1193"/>
      <c r="BF365" s="1193"/>
      <c r="BG365" s="1193"/>
    </row>
    <row r="366" spans="18:59" x14ac:dyDescent="0.35">
      <c r="R366" s="1193"/>
      <c r="S366" s="1193"/>
      <c r="W366" s="1193"/>
      <c r="X366" s="1193"/>
      <c r="AE366" s="1193"/>
      <c r="AF366" s="1193"/>
      <c r="AV366" s="1193"/>
      <c r="AW366" s="1193"/>
      <c r="AX366" s="1193"/>
      <c r="AY366" s="1193"/>
      <c r="AZ366" s="1193"/>
      <c r="BA366" s="1193"/>
      <c r="BC366" s="1193"/>
      <c r="BE366" s="1193"/>
      <c r="BF366" s="1193"/>
      <c r="BG366" s="1193"/>
    </row>
    <row r="367" spans="18:59" x14ac:dyDescent="0.35">
      <c r="R367" s="1193"/>
      <c r="S367" s="1193"/>
      <c r="W367" s="1193"/>
      <c r="X367" s="1193"/>
      <c r="AE367" s="1193"/>
      <c r="AF367" s="1193"/>
      <c r="AV367" s="1193"/>
      <c r="AW367" s="1193"/>
      <c r="AX367" s="1193"/>
      <c r="AY367" s="1193"/>
      <c r="AZ367" s="1193"/>
      <c r="BA367" s="1193"/>
      <c r="BC367" s="1193"/>
      <c r="BE367" s="1193"/>
      <c r="BF367" s="1193"/>
      <c r="BG367" s="1193"/>
    </row>
    <row r="368" spans="18:59" x14ac:dyDescent="0.35">
      <c r="R368" s="1193"/>
      <c r="S368" s="1193"/>
      <c r="W368" s="1193"/>
      <c r="X368" s="1193"/>
      <c r="AE368" s="1193"/>
      <c r="AF368" s="1193"/>
      <c r="AV368" s="1193"/>
      <c r="AW368" s="1193"/>
      <c r="AX368" s="1193"/>
      <c r="AY368" s="1193"/>
      <c r="AZ368" s="1193"/>
      <c r="BA368" s="1193"/>
      <c r="BC368" s="1193"/>
      <c r="BE368" s="1193"/>
      <c r="BF368" s="1193"/>
      <c r="BG368" s="1193"/>
    </row>
    <row r="369" spans="18:59" x14ac:dyDescent="0.35">
      <c r="R369" s="1193"/>
      <c r="S369" s="1193"/>
      <c r="W369" s="1193"/>
      <c r="X369" s="1193"/>
      <c r="AE369" s="1193"/>
      <c r="AF369" s="1193"/>
      <c r="AV369" s="1193"/>
      <c r="AW369" s="1193"/>
      <c r="AX369" s="1193"/>
      <c r="AY369" s="1193"/>
      <c r="AZ369" s="1193"/>
      <c r="BA369" s="1193"/>
      <c r="BC369" s="1193"/>
      <c r="BE369" s="1193"/>
      <c r="BF369" s="1193"/>
      <c r="BG369" s="1193"/>
    </row>
    <row r="370" spans="18:59" x14ac:dyDescent="0.35">
      <c r="R370" s="1193"/>
      <c r="S370" s="1193"/>
      <c r="W370" s="1193"/>
      <c r="X370" s="1193"/>
      <c r="AE370" s="1193"/>
      <c r="AF370" s="1193"/>
      <c r="AV370" s="1193"/>
      <c r="AW370" s="1193"/>
      <c r="AX370" s="1193"/>
      <c r="AY370" s="1193"/>
      <c r="AZ370" s="1193"/>
      <c r="BA370" s="1193"/>
      <c r="BC370" s="1193"/>
      <c r="BE370" s="1193"/>
      <c r="BF370" s="1193"/>
      <c r="BG370" s="1193"/>
    </row>
    <row r="371" spans="18:59" x14ac:dyDescent="0.35">
      <c r="R371" s="1193"/>
      <c r="S371" s="1193"/>
      <c r="W371" s="1193"/>
      <c r="X371" s="1193"/>
      <c r="AE371" s="1193"/>
      <c r="AF371" s="1193"/>
      <c r="AV371" s="1193"/>
      <c r="AW371" s="1193"/>
      <c r="AX371" s="1193"/>
      <c r="AY371" s="1193"/>
      <c r="AZ371" s="1193"/>
      <c r="BA371" s="1193"/>
      <c r="BC371" s="1193"/>
      <c r="BE371" s="1193"/>
      <c r="BF371" s="1193"/>
      <c r="BG371" s="1193"/>
    </row>
    <row r="372" spans="18:59" x14ac:dyDescent="0.35">
      <c r="R372" s="1193"/>
      <c r="S372" s="1193"/>
      <c r="W372" s="1193"/>
      <c r="X372" s="1193"/>
      <c r="AE372" s="1193"/>
      <c r="AF372" s="1193"/>
      <c r="AV372" s="1193"/>
      <c r="AW372" s="1193"/>
      <c r="AX372" s="1193"/>
      <c r="AY372" s="1193"/>
      <c r="AZ372" s="1193"/>
      <c r="BA372" s="1193"/>
      <c r="BC372" s="1193"/>
      <c r="BE372" s="1193"/>
      <c r="BF372" s="1193"/>
      <c r="BG372" s="1193"/>
    </row>
    <row r="373" spans="18:59" x14ac:dyDescent="0.35">
      <c r="R373" s="1193"/>
      <c r="S373" s="1193"/>
      <c r="W373" s="1193"/>
      <c r="X373" s="1193"/>
      <c r="AE373" s="1193"/>
      <c r="AF373" s="1193"/>
      <c r="AV373" s="1193"/>
      <c r="AW373" s="1193"/>
      <c r="AX373" s="1193"/>
      <c r="AY373" s="1193"/>
      <c r="AZ373" s="1193"/>
      <c r="BA373" s="1193"/>
      <c r="BC373" s="1193"/>
      <c r="BE373" s="1193"/>
      <c r="BF373" s="1193"/>
      <c r="BG373" s="1193"/>
    </row>
    <row r="374" spans="18:59" x14ac:dyDescent="0.35">
      <c r="R374" s="1193"/>
      <c r="S374" s="1193"/>
      <c r="W374" s="1193"/>
      <c r="X374" s="1193"/>
      <c r="AE374" s="1193"/>
      <c r="AF374" s="1193"/>
      <c r="AV374" s="1193"/>
      <c r="AW374" s="1193"/>
      <c r="AX374" s="1193"/>
      <c r="AY374" s="1193"/>
      <c r="AZ374" s="1193"/>
      <c r="BA374" s="1193"/>
      <c r="BC374" s="1193"/>
      <c r="BE374" s="1193"/>
      <c r="BF374" s="1193"/>
      <c r="BG374" s="1193"/>
    </row>
    <row r="375" spans="18:59" x14ac:dyDescent="0.35">
      <c r="R375" s="1193"/>
      <c r="S375" s="1193"/>
      <c r="W375" s="1193"/>
      <c r="X375" s="1193"/>
      <c r="AE375" s="1193"/>
      <c r="AF375" s="1193"/>
      <c r="AV375" s="1193"/>
      <c r="AW375" s="1193"/>
      <c r="AX375" s="1193"/>
      <c r="AY375" s="1193"/>
      <c r="AZ375" s="1193"/>
      <c r="BA375" s="1193"/>
      <c r="BC375" s="1193"/>
      <c r="BE375" s="1193"/>
      <c r="BF375" s="1193"/>
      <c r="BG375" s="1193"/>
    </row>
    <row r="376" spans="18:59" x14ac:dyDescent="0.35">
      <c r="R376" s="1193"/>
      <c r="S376" s="1193"/>
      <c r="W376" s="1193"/>
      <c r="X376" s="1193"/>
      <c r="AE376" s="1193"/>
      <c r="AF376" s="1193"/>
      <c r="AV376" s="1193"/>
      <c r="AW376" s="1193"/>
      <c r="AX376" s="1193"/>
      <c r="AY376" s="1193"/>
      <c r="AZ376" s="1193"/>
      <c r="BA376" s="1193"/>
      <c r="BC376" s="1193"/>
      <c r="BE376" s="1193"/>
      <c r="BF376" s="1193"/>
      <c r="BG376" s="1193"/>
    </row>
    <row r="377" spans="18:59" x14ac:dyDescent="0.35">
      <c r="R377" s="1193"/>
      <c r="S377" s="1193"/>
      <c r="W377" s="1193"/>
      <c r="X377" s="1193"/>
      <c r="AE377" s="1193"/>
      <c r="AF377" s="1193"/>
      <c r="AV377" s="1193"/>
      <c r="AW377" s="1193"/>
      <c r="AX377" s="1193"/>
      <c r="AY377" s="1193"/>
      <c r="AZ377" s="1193"/>
      <c r="BA377" s="1193"/>
      <c r="BC377" s="1193"/>
      <c r="BE377" s="1193"/>
      <c r="BF377" s="1193"/>
      <c r="BG377" s="1193"/>
    </row>
    <row r="378" spans="18:59" x14ac:dyDescent="0.35">
      <c r="R378" s="1193"/>
      <c r="S378" s="1193"/>
      <c r="W378" s="1193"/>
      <c r="X378" s="1193"/>
      <c r="AE378" s="1193"/>
      <c r="AF378" s="1193"/>
      <c r="AV378" s="1193"/>
      <c r="AW378" s="1193"/>
      <c r="AX378" s="1193"/>
      <c r="AY378" s="1193"/>
      <c r="AZ378" s="1193"/>
      <c r="BA378" s="1193"/>
      <c r="BC378" s="1193"/>
      <c r="BE378" s="1193"/>
      <c r="BF378" s="1193"/>
      <c r="BG378" s="1193"/>
    </row>
    <row r="379" spans="18:59" x14ac:dyDescent="0.35">
      <c r="R379" s="1193"/>
      <c r="S379" s="1193"/>
      <c r="W379" s="1193"/>
      <c r="X379" s="1193"/>
      <c r="AE379" s="1193"/>
      <c r="AF379" s="1193"/>
      <c r="AV379" s="1193"/>
      <c r="AW379" s="1193"/>
      <c r="AX379" s="1193"/>
      <c r="AY379" s="1193"/>
      <c r="AZ379" s="1193"/>
      <c r="BA379" s="1193"/>
      <c r="BC379" s="1193"/>
      <c r="BE379" s="1193"/>
      <c r="BF379" s="1193"/>
      <c r="BG379" s="1193"/>
    </row>
    <row r="380" spans="18:59" x14ac:dyDescent="0.35">
      <c r="R380" s="1193"/>
      <c r="S380" s="1193"/>
      <c r="W380" s="1193"/>
      <c r="X380" s="1193"/>
      <c r="AE380" s="1193"/>
      <c r="AF380" s="1193"/>
      <c r="AV380" s="1193"/>
      <c r="AW380" s="1193"/>
      <c r="AX380" s="1193"/>
      <c r="AY380" s="1193"/>
      <c r="AZ380" s="1193"/>
      <c r="BA380" s="1193"/>
      <c r="BC380" s="1193"/>
      <c r="BE380" s="1193"/>
      <c r="BF380" s="1193"/>
      <c r="BG380" s="1193"/>
    </row>
    <row r="381" spans="18:59" x14ac:dyDescent="0.35">
      <c r="R381" s="1193"/>
      <c r="S381" s="1193"/>
      <c r="W381" s="1193"/>
      <c r="X381" s="1193"/>
      <c r="AE381" s="1193"/>
      <c r="AF381" s="1193"/>
      <c r="AV381" s="1193"/>
      <c r="AW381" s="1193"/>
      <c r="AX381" s="1193"/>
      <c r="AY381" s="1193"/>
      <c r="AZ381" s="1193"/>
      <c r="BA381" s="1193"/>
      <c r="BC381" s="1193"/>
      <c r="BE381" s="1193"/>
      <c r="BF381" s="1193"/>
      <c r="BG381" s="1193"/>
    </row>
    <row r="382" spans="18:59" x14ac:dyDescent="0.35">
      <c r="R382" s="1193"/>
      <c r="S382" s="1193"/>
      <c r="W382" s="1193"/>
      <c r="X382" s="1193"/>
      <c r="AE382" s="1193"/>
      <c r="AF382" s="1193"/>
      <c r="AV382" s="1193"/>
      <c r="AW382" s="1193"/>
      <c r="AX382" s="1193"/>
      <c r="AY382" s="1193"/>
      <c r="AZ382" s="1193"/>
      <c r="BA382" s="1193"/>
      <c r="BC382" s="1193"/>
      <c r="BE382" s="1193"/>
      <c r="BF382" s="1193"/>
      <c r="BG382" s="1193"/>
    </row>
    <row r="383" spans="18:59" x14ac:dyDescent="0.35">
      <c r="R383" s="1193"/>
      <c r="S383" s="1193"/>
      <c r="W383" s="1193"/>
      <c r="X383" s="1193"/>
      <c r="AE383" s="1193"/>
      <c r="AF383" s="1193"/>
      <c r="AV383" s="1193"/>
      <c r="AW383" s="1193"/>
      <c r="AX383" s="1193"/>
      <c r="AY383" s="1193"/>
      <c r="AZ383" s="1193"/>
      <c r="BA383" s="1193"/>
      <c r="BC383" s="1193"/>
      <c r="BE383" s="1193"/>
      <c r="BF383" s="1193"/>
      <c r="BG383" s="1193"/>
    </row>
    <row r="384" spans="18:59" x14ac:dyDescent="0.35">
      <c r="R384" s="1193"/>
      <c r="S384" s="1193"/>
      <c r="W384" s="1193"/>
      <c r="X384" s="1193"/>
      <c r="AE384" s="1193"/>
      <c r="AF384" s="1193"/>
      <c r="AV384" s="1193"/>
      <c r="AW384" s="1193"/>
      <c r="AX384" s="1193"/>
      <c r="AY384" s="1193"/>
      <c r="AZ384" s="1193"/>
      <c r="BA384" s="1193"/>
      <c r="BC384" s="1193"/>
      <c r="BE384" s="1193"/>
      <c r="BF384" s="1193"/>
      <c r="BG384" s="1193"/>
    </row>
    <row r="385" spans="18:59" x14ac:dyDescent="0.35">
      <c r="R385" s="1193"/>
      <c r="S385" s="1193"/>
      <c r="W385" s="1193"/>
      <c r="X385" s="1193"/>
      <c r="AE385" s="1193"/>
      <c r="AF385" s="1193"/>
      <c r="AV385" s="1193"/>
      <c r="AW385" s="1193"/>
      <c r="AX385" s="1193"/>
      <c r="AY385" s="1193"/>
      <c r="AZ385" s="1193"/>
      <c r="BA385" s="1193"/>
      <c r="BC385" s="1193"/>
      <c r="BE385" s="1193"/>
      <c r="BF385" s="1193"/>
      <c r="BG385" s="1193"/>
    </row>
    <row r="386" spans="18:59" x14ac:dyDescent="0.35">
      <c r="R386" s="1193"/>
      <c r="S386" s="1193"/>
      <c r="W386" s="1193"/>
      <c r="X386" s="1193"/>
      <c r="AE386" s="1193"/>
      <c r="AF386" s="1193"/>
      <c r="AV386" s="1193"/>
      <c r="AW386" s="1193"/>
      <c r="AX386" s="1193"/>
      <c r="AY386" s="1193"/>
      <c r="AZ386" s="1193"/>
      <c r="BA386" s="1193"/>
      <c r="BC386" s="1193"/>
      <c r="BE386" s="1193"/>
      <c r="BF386" s="1193"/>
      <c r="BG386" s="1193"/>
    </row>
    <row r="387" spans="18:59" x14ac:dyDescent="0.35">
      <c r="R387" s="1193"/>
      <c r="S387" s="1193"/>
      <c r="W387" s="1193"/>
      <c r="X387" s="1193"/>
      <c r="AE387" s="1193"/>
      <c r="AF387" s="1193"/>
      <c r="AV387" s="1193"/>
      <c r="AW387" s="1193"/>
      <c r="AX387" s="1193"/>
      <c r="AY387" s="1193"/>
      <c r="AZ387" s="1193"/>
      <c r="BA387" s="1193"/>
      <c r="BC387" s="1193"/>
      <c r="BE387" s="1193"/>
      <c r="BF387" s="1193"/>
      <c r="BG387" s="1193"/>
    </row>
    <row r="388" spans="18:59" x14ac:dyDescent="0.35">
      <c r="R388" s="1193"/>
      <c r="S388" s="1193"/>
      <c r="W388" s="1193"/>
      <c r="X388" s="1193"/>
      <c r="AE388" s="1193"/>
      <c r="AF388" s="1193"/>
      <c r="AV388" s="1193"/>
      <c r="AW388" s="1193"/>
      <c r="AX388" s="1193"/>
      <c r="AY388" s="1193"/>
      <c r="AZ388" s="1193"/>
      <c r="BA388" s="1193"/>
      <c r="BC388" s="1193"/>
      <c r="BE388" s="1193"/>
      <c r="BF388" s="1193"/>
      <c r="BG388" s="1193"/>
    </row>
    <row r="389" spans="18:59" x14ac:dyDescent="0.35">
      <c r="R389" s="1193"/>
      <c r="S389" s="1193"/>
      <c r="W389" s="1193"/>
      <c r="X389" s="1193"/>
      <c r="AE389" s="1193"/>
      <c r="AF389" s="1193"/>
      <c r="AV389" s="1193"/>
      <c r="AW389" s="1193"/>
      <c r="AX389" s="1193"/>
      <c r="AY389" s="1193"/>
      <c r="AZ389" s="1193"/>
      <c r="BA389" s="1193"/>
      <c r="BC389" s="1193"/>
      <c r="BE389" s="1193"/>
      <c r="BF389" s="1193"/>
      <c r="BG389" s="1193"/>
    </row>
    <row r="390" spans="18:59" x14ac:dyDescent="0.35">
      <c r="R390" s="1193"/>
      <c r="S390" s="1193"/>
      <c r="W390" s="1193"/>
      <c r="X390" s="1193"/>
      <c r="AE390" s="1193"/>
      <c r="AF390" s="1193"/>
      <c r="AV390" s="1193"/>
      <c r="AW390" s="1193"/>
      <c r="AX390" s="1193"/>
      <c r="AY390" s="1193"/>
      <c r="AZ390" s="1193"/>
      <c r="BA390" s="1193"/>
      <c r="BC390" s="1193"/>
      <c r="BE390" s="1193"/>
      <c r="BF390" s="1193"/>
      <c r="BG390" s="1193"/>
    </row>
    <row r="391" spans="18:59" x14ac:dyDescent="0.35">
      <c r="R391" s="1193"/>
      <c r="S391" s="1193"/>
      <c r="W391" s="1193"/>
      <c r="X391" s="1193"/>
      <c r="AE391" s="1193"/>
      <c r="AF391" s="1193"/>
      <c r="AV391" s="1193"/>
      <c r="AW391" s="1193"/>
      <c r="AX391" s="1193"/>
      <c r="AY391" s="1193"/>
      <c r="AZ391" s="1193"/>
      <c r="BA391" s="1193"/>
      <c r="BC391" s="1193"/>
      <c r="BE391" s="1193"/>
      <c r="BF391" s="1193"/>
      <c r="BG391" s="1193"/>
    </row>
    <row r="392" spans="18:59" x14ac:dyDescent="0.35">
      <c r="R392" s="1193"/>
      <c r="S392" s="1193"/>
      <c r="W392" s="1193"/>
      <c r="X392" s="1193"/>
      <c r="AE392" s="1193"/>
      <c r="AF392" s="1193"/>
      <c r="AV392" s="1193"/>
      <c r="AW392" s="1193"/>
      <c r="AX392" s="1193"/>
      <c r="AY392" s="1193"/>
      <c r="AZ392" s="1193"/>
      <c r="BA392" s="1193"/>
      <c r="BC392" s="1193"/>
      <c r="BE392" s="1193"/>
      <c r="BF392" s="1193"/>
      <c r="BG392" s="1193"/>
    </row>
    <row r="393" spans="18:59" x14ac:dyDescent="0.35">
      <c r="R393" s="1193"/>
      <c r="S393" s="1193"/>
      <c r="W393" s="1193"/>
      <c r="X393" s="1193"/>
      <c r="AE393" s="1193"/>
      <c r="AF393" s="1193"/>
      <c r="AV393" s="1193"/>
      <c r="AW393" s="1193"/>
      <c r="AX393" s="1193"/>
      <c r="AY393" s="1193"/>
      <c r="AZ393" s="1193"/>
      <c r="BA393" s="1193"/>
      <c r="BC393" s="1193"/>
      <c r="BE393" s="1193"/>
      <c r="BF393" s="1193"/>
      <c r="BG393" s="1193"/>
    </row>
    <row r="394" spans="18:59" x14ac:dyDescent="0.35">
      <c r="R394" s="1193"/>
      <c r="S394" s="1193"/>
      <c r="W394" s="1193"/>
      <c r="X394" s="1193"/>
      <c r="AE394" s="1193"/>
      <c r="AF394" s="1193"/>
      <c r="AV394" s="1193"/>
      <c r="AW394" s="1193"/>
      <c r="AX394" s="1193"/>
      <c r="AY394" s="1193"/>
      <c r="AZ394" s="1193"/>
      <c r="BA394" s="1193"/>
      <c r="BC394" s="1193"/>
      <c r="BE394" s="1193"/>
      <c r="BF394" s="1193"/>
      <c r="BG394" s="1193"/>
    </row>
    <row r="395" spans="18:59" x14ac:dyDescent="0.35">
      <c r="R395" s="1193"/>
      <c r="S395" s="1193"/>
      <c r="W395" s="1193"/>
      <c r="X395" s="1193"/>
      <c r="AE395" s="1193"/>
      <c r="AF395" s="1193"/>
      <c r="AV395" s="1193"/>
      <c r="AW395" s="1193"/>
      <c r="AX395" s="1193"/>
      <c r="AY395" s="1193"/>
      <c r="AZ395" s="1193"/>
      <c r="BA395" s="1193"/>
      <c r="BC395" s="1193"/>
      <c r="BE395" s="1193"/>
      <c r="BF395" s="1193"/>
      <c r="BG395" s="1193"/>
    </row>
    <row r="396" spans="18:59" x14ac:dyDescent="0.35">
      <c r="R396" s="1193"/>
      <c r="S396" s="1193"/>
      <c r="W396" s="1193"/>
      <c r="X396" s="1193"/>
      <c r="AE396" s="1193"/>
      <c r="AF396" s="1193"/>
      <c r="AV396" s="1193"/>
      <c r="AW396" s="1193"/>
      <c r="AX396" s="1193"/>
      <c r="AY396" s="1193"/>
      <c r="AZ396" s="1193"/>
      <c r="BA396" s="1193"/>
      <c r="BC396" s="1193"/>
      <c r="BE396" s="1193"/>
      <c r="BF396" s="1193"/>
      <c r="BG396" s="1193"/>
    </row>
    <row r="397" spans="18:59" x14ac:dyDescent="0.35">
      <c r="R397" s="1193"/>
      <c r="S397" s="1193"/>
      <c r="W397" s="1193"/>
      <c r="X397" s="1193"/>
      <c r="AE397" s="1193"/>
      <c r="AF397" s="1193"/>
      <c r="AV397" s="1193"/>
      <c r="AW397" s="1193"/>
      <c r="AX397" s="1193"/>
      <c r="AY397" s="1193"/>
      <c r="AZ397" s="1193"/>
      <c r="BA397" s="1193"/>
      <c r="BC397" s="1193"/>
      <c r="BE397" s="1193"/>
      <c r="BF397" s="1193"/>
      <c r="BG397" s="1193"/>
    </row>
    <row r="398" spans="18:59" x14ac:dyDescent="0.35">
      <c r="R398" s="1193"/>
      <c r="S398" s="1193"/>
      <c r="W398" s="1193"/>
      <c r="X398" s="1193"/>
      <c r="AE398" s="1193"/>
      <c r="AF398" s="1193"/>
      <c r="AV398" s="1193"/>
      <c r="AW398" s="1193"/>
      <c r="AX398" s="1193"/>
      <c r="AY398" s="1193"/>
      <c r="AZ398" s="1193"/>
      <c r="BA398" s="1193"/>
      <c r="BC398" s="1193"/>
      <c r="BE398" s="1193"/>
      <c r="BF398" s="1193"/>
      <c r="BG398" s="1193"/>
    </row>
    <row r="399" spans="18:59" x14ac:dyDescent="0.35">
      <c r="R399" s="1193"/>
      <c r="S399" s="1193"/>
      <c r="W399" s="1193"/>
      <c r="X399" s="1193"/>
      <c r="AE399" s="1193"/>
      <c r="AF399" s="1193"/>
      <c r="AV399" s="1193"/>
      <c r="AW399" s="1193"/>
      <c r="AX399" s="1193"/>
      <c r="AY399" s="1193"/>
      <c r="AZ399" s="1193"/>
      <c r="BA399" s="1193"/>
      <c r="BC399" s="1193"/>
      <c r="BE399" s="1193"/>
      <c r="BF399" s="1193"/>
      <c r="BG399" s="1193"/>
    </row>
    <row r="400" spans="18:59" x14ac:dyDescent="0.35">
      <c r="R400" s="1193"/>
      <c r="S400" s="1193"/>
      <c r="W400" s="1193"/>
      <c r="X400" s="1193"/>
      <c r="AE400" s="1193"/>
      <c r="AF400" s="1193"/>
      <c r="AV400" s="1193"/>
      <c r="AW400" s="1193"/>
      <c r="AX400" s="1193"/>
      <c r="AY400" s="1193"/>
      <c r="AZ400" s="1193"/>
      <c r="BA400" s="1193"/>
      <c r="BC400" s="1193"/>
      <c r="BE400" s="1193"/>
      <c r="BF400" s="1193"/>
      <c r="BG400" s="1193"/>
    </row>
    <row r="401" spans="18:59" x14ac:dyDescent="0.35">
      <c r="R401" s="1193"/>
      <c r="S401" s="1193"/>
      <c r="W401" s="1193"/>
      <c r="X401" s="1193"/>
      <c r="AE401" s="1193"/>
      <c r="AF401" s="1193"/>
      <c r="AV401" s="1193"/>
      <c r="AW401" s="1193"/>
      <c r="AX401" s="1193"/>
      <c r="AY401" s="1193"/>
      <c r="AZ401" s="1193"/>
      <c r="BA401" s="1193"/>
      <c r="BC401" s="1193"/>
      <c r="BE401" s="1193"/>
      <c r="BF401" s="1193"/>
      <c r="BG401" s="1193"/>
    </row>
    <row r="402" spans="18:59" x14ac:dyDescent="0.35">
      <c r="R402" s="1193"/>
      <c r="S402" s="1193"/>
      <c r="W402" s="1193"/>
      <c r="X402" s="1193"/>
      <c r="AE402" s="1193"/>
      <c r="AF402" s="1193"/>
      <c r="AV402" s="1193"/>
      <c r="AW402" s="1193"/>
      <c r="AX402" s="1193"/>
      <c r="AY402" s="1193"/>
      <c r="AZ402" s="1193"/>
      <c r="BA402" s="1193"/>
      <c r="BC402" s="1193"/>
      <c r="BE402" s="1193"/>
      <c r="BF402" s="1193"/>
      <c r="BG402" s="1193"/>
    </row>
    <row r="403" spans="18:59" x14ac:dyDescent="0.35">
      <c r="R403" s="1193"/>
      <c r="S403" s="1193"/>
      <c r="W403" s="1193"/>
      <c r="X403" s="1193"/>
      <c r="AE403" s="1193"/>
      <c r="AF403" s="1193"/>
      <c r="AV403" s="1193"/>
      <c r="AW403" s="1193"/>
      <c r="AX403" s="1193"/>
      <c r="AY403" s="1193"/>
      <c r="AZ403" s="1193"/>
      <c r="BA403" s="1193"/>
      <c r="BC403" s="1193"/>
      <c r="BE403" s="1193"/>
      <c r="BF403" s="1193"/>
      <c r="BG403" s="1193"/>
    </row>
    <row r="404" spans="18:59" x14ac:dyDescent="0.35">
      <c r="R404" s="1193"/>
      <c r="S404" s="1193"/>
      <c r="W404" s="1193"/>
      <c r="X404" s="1193"/>
      <c r="AE404" s="1193"/>
      <c r="AF404" s="1193"/>
      <c r="AV404" s="1193"/>
      <c r="AW404" s="1193"/>
      <c r="AX404" s="1193"/>
      <c r="AY404" s="1193"/>
      <c r="AZ404" s="1193"/>
      <c r="BA404" s="1193"/>
      <c r="BC404" s="1193"/>
      <c r="BE404" s="1193"/>
      <c r="BF404" s="1193"/>
      <c r="BG404" s="1193"/>
    </row>
    <row r="405" spans="18:59" x14ac:dyDescent="0.35">
      <c r="R405" s="1193"/>
      <c r="S405" s="1193"/>
      <c r="W405" s="1193"/>
      <c r="X405" s="1193"/>
      <c r="AE405" s="1193"/>
      <c r="AF405" s="1193"/>
      <c r="AV405" s="1193"/>
      <c r="AW405" s="1193"/>
      <c r="AX405" s="1193"/>
      <c r="AY405" s="1193"/>
      <c r="AZ405" s="1193"/>
      <c r="BA405" s="1193"/>
      <c r="BC405" s="1193"/>
      <c r="BE405" s="1193"/>
      <c r="BF405" s="1193"/>
      <c r="BG405" s="1193"/>
    </row>
    <row r="406" spans="18:59" x14ac:dyDescent="0.35">
      <c r="R406" s="1193"/>
      <c r="S406" s="1193"/>
      <c r="W406" s="1193"/>
      <c r="X406" s="1193"/>
      <c r="AE406" s="1193"/>
      <c r="AF406" s="1193"/>
      <c r="AV406" s="1193"/>
      <c r="AW406" s="1193"/>
      <c r="AX406" s="1193"/>
      <c r="AY406" s="1193"/>
      <c r="AZ406" s="1193"/>
      <c r="BA406" s="1193"/>
      <c r="BC406" s="1193"/>
      <c r="BE406" s="1193"/>
      <c r="BF406" s="1193"/>
      <c r="BG406" s="1193"/>
    </row>
    <row r="407" spans="18:59" x14ac:dyDescent="0.35">
      <c r="R407" s="1193"/>
      <c r="S407" s="1193"/>
      <c r="W407" s="1193"/>
      <c r="X407" s="1193"/>
      <c r="AE407" s="1193"/>
      <c r="AF407" s="1193"/>
      <c r="AV407" s="1193"/>
      <c r="AW407" s="1193"/>
      <c r="AX407" s="1193"/>
      <c r="AY407" s="1193"/>
      <c r="AZ407" s="1193"/>
      <c r="BA407" s="1193"/>
      <c r="BC407" s="1193"/>
      <c r="BE407" s="1193"/>
      <c r="BF407" s="1193"/>
      <c r="BG407" s="1193"/>
    </row>
    <row r="408" spans="18:59" x14ac:dyDescent="0.35">
      <c r="R408" s="1193"/>
      <c r="S408" s="1193"/>
      <c r="W408" s="1193"/>
      <c r="X408" s="1193"/>
      <c r="AE408" s="1193"/>
      <c r="AF408" s="1193"/>
      <c r="AV408" s="1193"/>
      <c r="AW408" s="1193"/>
      <c r="AX408" s="1193"/>
      <c r="AY408" s="1193"/>
      <c r="AZ408" s="1193"/>
      <c r="BA408" s="1193"/>
      <c r="BC408" s="1193"/>
      <c r="BE408" s="1193"/>
      <c r="BF408" s="1193"/>
      <c r="BG408" s="1193"/>
    </row>
    <row r="409" spans="18:59" x14ac:dyDescent="0.35">
      <c r="R409" s="1193"/>
      <c r="S409" s="1193"/>
      <c r="W409" s="1193"/>
      <c r="X409" s="1193"/>
      <c r="AE409" s="1193"/>
      <c r="AF409" s="1193"/>
      <c r="AV409" s="1193"/>
      <c r="AW409" s="1193"/>
      <c r="AX409" s="1193"/>
      <c r="AY409" s="1193"/>
      <c r="AZ409" s="1193"/>
      <c r="BA409" s="1193"/>
      <c r="BC409" s="1193"/>
      <c r="BE409" s="1193"/>
      <c r="BF409" s="1193"/>
      <c r="BG409" s="1193"/>
    </row>
    <row r="410" spans="18:59" x14ac:dyDescent="0.35">
      <c r="R410" s="1193"/>
      <c r="S410" s="1193"/>
      <c r="W410" s="1193"/>
      <c r="X410" s="1193"/>
      <c r="AE410" s="1193"/>
      <c r="AF410" s="1193"/>
      <c r="AV410" s="1193"/>
      <c r="AW410" s="1193"/>
      <c r="AX410" s="1193"/>
      <c r="AY410" s="1193"/>
      <c r="AZ410" s="1193"/>
      <c r="BA410" s="1193"/>
      <c r="BC410" s="1193"/>
      <c r="BE410" s="1193"/>
      <c r="BF410" s="1193"/>
      <c r="BG410" s="1193"/>
    </row>
    <row r="411" spans="18:59" x14ac:dyDescent="0.35">
      <c r="R411" s="1193"/>
      <c r="S411" s="1193"/>
      <c r="W411" s="1193"/>
      <c r="X411" s="1193"/>
      <c r="AE411" s="1193"/>
      <c r="AF411" s="1193"/>
      <c r="AV411" s="1193"/>
      <c r="AW411" s="1193"/>
      <c r="AX411" s="1193"/>
      <c r="AY411" s="1193"/>
      <c r="AZ411" s="1193"/>
      <c r="BA411" s="1193"/>
      <c r="BC411" s="1193"/>
      <c r="BE411" s="1193"/>
      <c r="BF411" s="1193"/>
      <c r="BG411" s="1193"/>
    </row>
    <row r="412" spans="18:59" x14ac:dyDescent="0.35">
      <c r="R412" s="1193"/>
      <c r="S412" s="1193"/>
      <c r="W412" s="1193"/>
      <c r="X412" s="1193"/>
      <c r="AE412" s="1193"/>
      <c r="AF412" s="1193"/>
      <c r="AV412" s="1193"/>
      <c r="AW412" s="1193"/>
      <c r="AX412" s="1193"/>
      <c r="AY412" s="1193"/>
      <c r="AZ412" s="1193"/>
      <c r="BA412" s="1193"/>
      <c r="BC412" s="1193"/>
      <c r="BE412" s="1193"/>
      <c r="BF412" s="1193"/>
      <c r="BG412" s="1193"/>
    </row>
    <row r="413" spans="18:59" x14ac:dyDescent="0.35">
      <c r="R413" s="1193"/>
      <c r="S413" s="1193"/>
      <c r="W413" s="1193"/>
      <c r="X413" s="1193"/>
      <c r="AE413" s="1193"/>
      <c r="AF413" s="1193"/>
      <c r="AV413" s="1193"/>
      <c r="AW413" s="1193"/>
      <c r="AX413" s="1193"/>
      <c r="AY413" s="1193"/>
      <c r="AZ413" s="1193"/>
      <c r="BA413" s="1193"/>
      <c r="BC413" s="1193"/>
      <c r="BE413" s="1193"/>
      <c r="BF413" s="1193"/>
      <c r="BG413" s="1193"/>
    </row>
    <row r="414" spans="18:59" x14ac:dyDescent="0.35">
      <c r="R414" s="1193"/>
      <c r="S414" s="1193"/>
      <c r="W414" s="1193"/>
      <c r="X414" s="1193"/>
      <c r="AE414" s="1193"/>
      <c r="AF414" s="1193"/>
      <c r="AV414" s="1193"/>
      <c r="AW414" s="1193"/>
      <c r="AX414" s="1193"/>
      <c r="AY414" s="1193"/>
      <c r="AZ414" s="1193"/>
      <c r="BA414" s="1193"/>
      <c r="BC414" s="1193"/>
      <c r="BE414" s="1193"/>
      <c r="BF414" s="1193"/>
      <c r="BG414" s="1193"/>
    </row>
    <row r="415" spans="18:59" x14ac:dyDescent="0.35">
      <c r="R415" s="1193"/>
      <c r="S415" s="1193"/>
      <c r="W415" s="1193"/>
      <c r="X415" s="1193"/>
      <c r="AE415" s="1193"/>
      <c r="AF415" s="1193"/>
      <c r="AV415" s="1193"/>
      <c r="AW415" s="1193"/>
      <c r="AX415" s="1193"/>
      <c r="AY415" s="1193"/>
      <c r="AZ415" s="1193"/>
      <c r="BA415" s="1193"/>
      <c r="BC415" s="1193"/>
      <c r="BE415" s="1193"/>
      <c r="BF415" s="1193"/>
      <c r="BG415" s="1193"/>
    </row>
    <row r="416" spans="18:59" x14ac:dyDescent="0.35">
      <c r="R416" s="1193"/>
      <c r="S416" s="1193"/>
      <c r="W416" s="1193"/>
      <c r="X416" s="1193"/>
      <c r="AE416" s="1193"/>
      <c r="AF416" s="1193"/>
      <c r="AV416" s="1193"/>
      <c r="AW416" s="1193"/>
      <c r="AX416" s="1193"/>
      <c r="AY416" s="1193"/>
      <c r="AZ416" s="1193"/>
      <c r="BA416" s="1193"/>
      <c r="BC416" s="1193"/>
      <c r="BE416" s="1193"/>
      <c r="BF416" s="1193"/>
      <c r="BG416" s="1193"/>
    </row>
    <row r="417" spans="18:59" x14ac:dyDescent="0.35">
      <c r="R417" s="1193"/>
      <c r="S417" s="1193"/>
      <c r="W417" s="1193"/>
      <c r="X417" s="1193"/>
      <c r="AE417" s="1193"/>
      <c r="AF417" s="1193"/>
      <c r="AV417" s="1193"/>
      <c r="AW417" s="1193"/>
      <c r="AX417" s="1193"/>
      <c r="AY417" s="1193"/>
      <c r="AZ417" s="1193"/>
      <c r="BA417" s="1193"/>
      <c r="BC417" s="1193"/>
      <c r="BE417" s="1193"/>
      <c r="BF417" s="1193"/>
      <c r="BG417" s="1193"/>
    </row>
    <row r="418" spans="18:59" x14ac:dyDescent="0.35">
      <c r="R418" s="1193"/>
      <c r="S418" s="1193"/>
      <c r="W418" s="1193"/>
      <c r="X418" s="1193"/>
      <c r="AE418" s="1193"/>
      <c r="AF418" s="1193"/>
      <c r="AV418" s="1193"/>
      <c r="AW418" s="1193"/>
      <c r="AX418" s="1193"/>
      <c r="AY418" s="1193"/>
      <c r="AZ418" s="1193"/>
      <c r="BA418" s="1193"/>
      <c r="BC418" s="1193"/>
      <c r="BE418" s="1193"/>
      <c r="BF418" s="1193"/>
      <c r="BG418" s="1193"/>
    </row>
    <row r="419" spans="18:59" x14ac:dyDescent="0.35">
      <c r="R419" s="1193"/>
      <c r="S419" s="1193"/>
      <c r="W419" s="1193"/>
      <c r="X419" s="1193"/>
      <c r="AE419" s="1193"/>
      <c r="AF419" s="1193"/>
      <c r="AV419" s="1193"/>
      <c r="AW419" s="1193"/>
      <c r="AX419" s="1193"/>
      <c r="AY419" s="1193"/>
      <c r="AZ419" s="1193"/>
      <c r="BA419" s="1193"/>
      <c r="BC419" s="1193"/>
      <c r="BE419" s="1193"/>
      <c r="BF419" s="1193"/>
      <c r="BG419" s="1193"/>
    </row>
    <row r="420" spans="18:59" x14ac:dyDescent="0.35">
      <c r="R420" s="1193"/>
      <c r="S420" s="1193"/>
      <c r="W420" s="1193"/>
      <c r="X420" s="1193"/>
      <c r="AE420" s="1193"/>
      <c r="AF420" s="1193"/>
      <c r="AV420" s="1193"/>
      <c r="AW420" s="1193"/>
      <c r="AX420" s="1193"/>
      <c r="AY420" s="1193"/>
      <c r="AZ420" s="1193"/>
      <c r="BA420" s="1193"/>
      <c r="BC420" s="1193"/>
      <c r="BE420" s="1193"/>
      <c r="BF420" s="1193"/>
      <c r="BG420" s="1193"/>
    </row>
    <row r="421" spans="18:59" x14ac:dyDescent="0.35">
      <c r="R421" s="1193"/>
      <c r="S421" s="1193"/>
      <c r="W421" s="1193"/>
      <c r="X421" s="1193"/>
      <c r="AE421" s="1193"/>
      <c r="AF421" s="1193"/>
      <c r="AV421" s="1193"/>
      <c r="AW421" s="1193"/>
      <c r="AX421" s="1193"/>
      <c r="AY421" s="1193"/>
      <c r="AZ421" s="1193"/>
      <c r="BA421" s="1193"/>
      <c r="BC421" s="1193"/>
      <c r="BE421" s="1193"/>
      <c r="BF421" s="1193"/>
      <c r="BG421" s="1193"/>
    </row>
    <row r="422" spans="18:59" x14ac:dyDescent="0.35">
      <c r="R422" s="1193"/>
      <c r="S422" s="1193"/>
      <c r="W422" s="1193"/>
      <c r="X422" s="1193"/>
      <c r="AE422" s="1193"/>
      <c r="AF422" s="1193"/>
      <c r="AV422" s="1193"/>
      <c r="AW422" s="1193"/>
      <c r="AX422" s="1193"/>
      <c r="AY422" s="1193"/>
      <c r="AZ422" s="1193"/>
      <c r="BA422" s="1193"/>
      <c r="BC422" s="1193"/>
      <c r="BE422" s="1193"/>
      <c r="BF422" s="1193"/>
      <c r="BG422" s="1193"/>
    </row>
    <row r="423" spans="18:59" x14ac:dyDescent="0.35">
      <c r="R423" s="1193"/>
      <c r="S423" s="1193"/>
      <c r="W423" s="1193"/>
      <c r="X423" s="1193"/>
      <c r="AE423" s="1193"/>
      <c r="AF423" s="1193"/>
      <c r="AV423" s="1193"/>
      <c r="AW423" s="1193"/>
      <c r="AX423" s="1193"/>
      <c r="AY423" s="1193"/>
      <c r="AZ423" s="1193"/>
      <c r="BA423" s="1193"/>
      <c r="BC423" s="1193"/>
      <c r="BE423" s="1193"/>
      <c r="BF423" s="1193"/>
      <c r="BG423" s="1193"/>
    </row>
    <row r="424" spans="18:59" x14ac:dyDescent="0.35">
      <c r="R424" s="1193"/>
      <c r="S424" s="1193"/>
      <c r="W424" s="1193"/>
      <c r="X424" s="1193"/>
      <c r="AE424" s="1193"/>
      <c r="AF424" s="1193"/>
      <c r="AV424" s="1193"/>
      <c r="AW424" s="1193"/>
      <c r="AX424" s="1193"/>
      <c r="AY424" s="1193"/>
      <c r="AZ424" s="1193"/>
      <c r="BA424" s="1193"/>
      <c r="BC424" s="1193"/>
      <c r="BE424" s="1193"/>
      <c r="BF424" s="1193"/>
      <c r="BG424" s="1193"/>
    </row>
    <row r="425" spans="18:59" x14ac:dyDescent="0.35">
      <c r="R425" s="1193"/>
      <c r="S425" s="1193"/>
      <c r="W425" s="1193"/>
      <c r="X425" s="1193"/>
      <c r="AE425" s="1193"/>
      <c r="AF425" s="1193"/>
      <c r="AV425" s="1193"/>
      <c r="AW425" s="1193"/>
      <c r="AX425" s="1193"/>
      <c r="AY425" s="1193"/>
      <c r="AZ425" s="1193"/>
      <c r="BA425" s="1193"/>
      <c r="BC425" s="1193"/>
      <c r="BE425" s="1193"/>
      <c r="BF425" s="1193"/>
      <c r="BG425" s="1193"/>
    </row>
    <row r="426" spans="18:59" x14ac:dyDescent="0.35">
      <c r="R426" s="1193"/>
      <c r="S426" s="1193"/>
      <c r="W426" s="1193"/>
      <c r="X426" s="1193"/>
      <c r="AE426" s="1193"/>
      <c r="AF426" s="1193"/>
      <c r="AV426" s="1193"/>
      <c r="AW426" s="1193"/>
      <c r="AX426" s="1193"/>
      <c r="AY426" s="1193"/>
      <c r="AZ426" s="1193"/>
      <c r="BA426" s="1193"/>
      <c r="BC426" s="1193"/>
      <c r="BE426" s="1193"/>
      <c r="BF426" s="1193"/>
      <c r="BG426" s="1193"/>
    </row>
    <row r="427" spans="18:59" x14ac:dyDescent="0.35">
      <c r="R427" s="1193"/>
      <c r="S427" s="1193"/>
      <c r="W427" s="1193"/>
      <c r="X427" s="1193"/>
      <c r="AE427" s="1193"/>
      <c r="AF427" s="1193"/>
      <c r="AV427" s="1193"/>
      <c r="AW427" s="1193"/>
      <c r="AX427" s="1193"/>
      <c r="AY427" s="1193"/>
      <c r="AZ427" s="1193"/>
      <c r="BA427" s="1193"/>
      <c r="BC427" s="1193"/>
      <c r="BE427" s="1193"/>
      <c r="BF427" s="1193"/>
      <c r="BG427" s="1193"/>
    </row>
    <row r="428" spans="18:59" x14ac:dyDescent="0.35">
      <c r="R428" s="1193"/>
      <c r="S428" s="1193"/>
      <c r="W428" s="1193"/>
      <c r="X428" s="1193"/>
      <c r="AE428" s="1193"/>
      <c r="AF428" s="1193"/>
      <c r="AV428" s="1193"/>
      <c r="AW428" s="1193"/>
      <c r="AX428" s="1193"/>
      <c r="AY428" s="1193"/>
      <c r="AZ428" s="1193"/>
      <c r="BA428" s="1193"/>
      <c r="BC428" s="1193"/>
      <c r="BE428" s="1193"/>
      <c r="BF428" s="1193"/>
      <c r="BG428" s="1193"/>
    </row>
    <row r="429" spans="18:59" x14ac:dyDescent="0.35">
      <c r="R429" s="1193"/>
      <c r="S429" s="1193"/>
      <c r="W429" s="1193"/>
      <c r="X429" s="1193"/>
      <c r="AE429" s="1193"/>
      <c r="AF429" s="1193"/>
      <c r="AV429" s="1193"/>
      <c r="AW429" s="1193"/>
      <c r="AX429" s="1193"/>
      <c r="AY429" s="1193"/>
      <c r="AZ429" s="1193"/>
      <c r="BA429" s="1193"/>
      <c r="BC429" s="1193"/>
      <c r="BE429" s="1193"/>
      <c r="BF429" s="1193"/>
      <c r="BG429" s="1193"/>
    </row>
    <row r="430" spans="18:59" x14ac:dyDescent="0.35">
      <c r="R430" s="1193"/>
      <c r="S430" s="1193"/>
      <c r="W430" s="1193"/>
      <c r="X430" s="1193"/>
      <c r="AE430" s="1193"/>
      <c r="AF430" s="1193"/>
      <c r="AV430" s="1193"/>
      <c r="AW430" s="1193"/>
      <c r="AX430" s="1193"/>
      <c r="AY430" s="1193"/>
      <c r="AZ430" s="1193"/>
      <c r="BA430" s="1193"/>
      <c r="BC430" s="1193"/>
      <c r="BE430" s="1193"/>
      <c r="BF430" s="1193"/>
      <c r="BG430" s="1193"/>
    </row>
    <row r="431" spans="18:59" x14ac:dyDescent="0.35">
      <c r="R431" s="1193"/>
      <c r="S431" s="1193"/>
      <c r="W431" s="1193"/>
      <c r="X431" s="1193"/>
      <c r="AE431" s="1193"/>
      <c r="AF431" s="1193"/>
      <c r="AV431" s="1193"/>
      <c r="AW431" s="1193"/>
      <c r="AX431" s="1193"/>
      <c r="AY431" s="1193"/>
      <c r="AZ431" s="1193"/>
      <c r="BA431" s="1193"/>
      <c r="BC431" s="1193"/>
      <c r="BE431" s="1193"/>
      <c r="BF431" s="1193"/>
      <c r="BG431" s="1193"/>
    </row>
    <row r="432" spans="18:59" x14ac:dyDescent="0.35">
      <c r="R432" s="1193"/>
      <c r="S432" s="1193"/>
      <c r="W432" s="1193"/>
      <c r="X432" s="1193"/>
      <c r="AE432" s="1193"/>
      <c r="AF432" s="1193"/>
      <c r="AV432" s="1193"/>
      <c r="AW432" s="1193"/>
      <c r="AX432" s="1193"/>
      <c r="AY432" s="1193"/>
      <c r="AZ432" s="1193"/>
      <c r="BA432" s="1193"/>
      <c r="BC432" s="1193"/>
      <c r="BE432" s="1193"/>
      <c r="BF432" s="1193"/>
      <c r="BG432" s="1193"/>
    </row>
    <row r="433" spans="18:59" x14ac:dyDescent="0.35">
      <c r="R433" s="1193"/>
      <c r="S433" s="1193"/>
      <c r="W433" s="1193"/>
      <c r="X433" s="1193"/>
      <c r="AE433" s="1193"/>
      <c r="AF433" s="1193"/>
      <c r="AV433" s="1193"/>
      <c r="AW433" s="1193"/>
      <c r="AX433" s="1193"/>
      <c r="AY433" s="1193"/>
      <c r="AZ433" s="1193"/>
      <c r="BA433" s="1193"/>
      <c r="BC433" s="1193"/>
      <c r="BE433" s="1193"/>
      <c r="BF433" s="1193"/>
      <c r="BG433" s="1193"/>
    </row>
    <row r="434" spans="18:59" x14ac:dyDescent="0.35">
      <c r="R434" s="1193"/>
      <c r="S434" s="1193"/>
      <c r="W434" s="1193"/>
      <c r="X434" s="1193"/>
      <c r="AE434" s="1193"/>
      <c r="AF434" s="1193"/>
      <c r="AV434" s="1193"/>
      <c r="AW434" s="1193"/>
      <c r="AX434" s="1193"/>
      <c r="AY434" s="1193"/>
      <c r="AZ434" s="1193"/>
      <c r="BA434" s="1193"/>
      <c r="BC434" s="1193"/>
      <c r="BE434" s="1193"/>
      <c r="BF434" s="1193"/>
      <c r="BG434" s="1193"/>
    </row>
    <row r="435" spans="18:59" x14ac:dyDescent="0.35">
      <c r="R435" s="1193"/>
      <c r="S435" s="1193"/>
      <c r="W435" s="1193"/>
      <c r="X435" s="1193"/>
      <c r="AE435" s="1193"/>
      <c r="AF435" s="1193"/>
      <c r="AV435" s="1193"/>
      <c r="AW435" s="1193"/>
      <c r="AX435" s="1193"/>
      <c r="AY435" s="1193"/>
      <c r="AZ435" s="1193"/>
      <c r="BA435" s="1193"/>
      <c r="BC435" s="1193"/>
      <c r="BE435" s="1193"/>
      <c r="BF435" s="1193"/>
      <c r="BG435" s="1193"/>
    </row>
    <row r="436" spans="18:59" x14ac:dyDescent="0.35">
      <c r="R436" s="1193"/>
      <c r="S436" s="1193"/>
      <c r="W436" s="1193"/>
      <c r="X436" s="1193"/>
      <c r="AE436" s="1193"/>
      <c r="AF436" s="1193"/>
      <c r="AV436" s="1193"/>
      <c r="AW436" s="1193"/>
      <c r="AX436" s="1193"/>
      <c r="AY436" s="1193"/>
      <c r="AZ436" s="1193"/>
      <c r="BA436" s="1193"/>
      <c r="BC436" s="1193"/>
      <c r="BE436" s="1193"/>
      <c r="BF436" s="1193"/>
      <c r="BG436" s="1193"/>
    </row>
    <row r="437" spans="18:59" x14ac:dyDescent="0.35">
      <c r="R437" s="1193"/>
      <c r="S437" s="1193"/>
      <c r="W437" s="1193"/>
      <c r="X437" s="1193"/>
      <c r="AE437" s="1193"/>
      <c r="AF437" s="1193"/>
      <c r="AV437" s="1193"/>
      <c r="AW437" s="1193"/>
      <c r="AX437" s="1193"/>
      <c r="AY437" s="1193"/>
      <c r="AZ437" s="1193"/>
      <c r="BA437" s="1193"/>
      <c r="BC437" s="1193"/>
      <c r="BE437" s="1193"/>
      <c r="BF437" s="1193"/>
      <c r="BG437" s="1193"/>
    </row>
    <row r="438" spans="18:59" x14ac:dyDescent="0.35">
      <c r="R438" s="1193"/>
      <c r="S438" s="1193"/>
      <c r="W438" s="1193"/>
      <c r="X438" s="1193"/>
      <c r="AE438" s="1193"/>
      <c r="AF438" s="1193"/>
      <c r="AV438" s="1193"/>
      <c r="AW438" s="1193"/>
      <c r="AX438" s="1193"/>
      <c r="AY438" s="1193"/>
      <c r="AZ438" s="1193"/>
      <c r="BA438" s="1193"/>
      <c r="BC438" s="1193"/>
      <c r="BE438" s="1193"/>
      <c r="BF438" s="1193"/>
      <c r="BG438" s="1193"/>
    </row>
    <row r="439" spans="18:59" x14ac:dyDescent="0.35">
      <c r="R439" s="1193"/>
      <c r="S439" s="1193"/>
      <c r="W439" s="1193"/>
      <c r="X439" s="1193"/>
      <c r="AE439" s="1193"/>
      <c r="AF439" s="1193"/>
      <c r="AV439" s="1193"/>
      <c r="AW439" s="1193"/>
      <c r="AX439" s="1193"/>
      <c r="AY439" s="1193"/>
      <c r="AZ439" s="1193"/>
      <c r="BA439" s="1193"/>
      <c r="BC439" s="1193"/>
      <c r="BE439" s="1193"/>
      <c r="BF439" s="1193"/>
      <c r="BG439" s="1193"/>
    </row>
    <row r="440" spans="18:59" x14ac:dyDescent="0.35">
      <c r="R440" s="1193"/>
      <c r="S440" s="1193"/>
      <c r="W440" s="1193"/>
      <c r="X440" s="1193"/>
      <c r="AE440" s="1193"/>
      <c r="AF440" s="1193"/>
      <c r="AV440" s="1193"/>
      <c r="AW440" s="1193"/>
      <c r="AX440" s="1193"/>
      <c r="AY440" s="1193"/>
      <c r="AZ440" s="1193"/>
      <c r="BA440" s="1193"/>
      <c r="BC440" s="1193"/>
      <c r="BE440" s="1193"/>
      <c r="BF440" s="1193"/>
      <c r="BG440" s="1193"/>
    </row>
    <row r="441" spans="18:59" x14ac:dyDescent="0.35">
      <c r="R441" s="1193"/>
      <c r="S441" s="1193"/>
      <c r="W441" s="1193"/>
      <c r="X441" s="1193"/>
      <c r="AE441" s="1193"/>
      <c r="AF441" s="1193"/>
      <c r="AV441" s="1193"/>
      <c r="AW441" s="1193"/>
      <c r="AX441" s="1193"/>
      <c r="AY441" s="1193"/>
      <c r="AZ441" s="1193"/>
      <c r="BA441" s="1193"/>
      <c r="BC441" s="1193"/>
      <c r="BE441" s="1193"/>
      <c r="BF441" s="1193"/>
      <c r="BG441" s="1193"/>
    </row>
    <row r="442" spans="18:59" x14ac:dyDescent="0.35">
      <c r="R442" s="1193"/>
      <c r="S442" s="1193"/>
      <c r="W442" s="1193"/>
      <c r="X442" s="1193"/>
      <c r="AE442" s="1193"/>
      <c r="AF442" s="1193"/>
      <c r="AV442" s="1193"/>
      <c r="AW442" s="1193"/>
      <c r="AX442" s="1193"/>
      <c r="AY442" s="1193"/>
      <c r="AZ442" s="1193"/>
      <c r="BA442" s="1193"/>
      <c r="BC442" s="1193"/>
      <c r="BE442" s="1193"/>
      <c r="BF442" s="1193"/>
      <c r="BG442" s="1193"/>
    </row>
    <row r="443" spans="18:59" x14ac:dyDescent="0.35">
      <c r="R443" s="1193"/>
      <c r="S443" s="1193"/>
      <c r="W443" s="1193"/>
      <c r="X443" s="1193"/>
      <c r="AE443" s="1193"/>
      <c r="AF443" s="1193"/>
      <c r="AV443" s="1193"/>
      <c r="AW443" s="1193"/>
      <c r="AX443" s="1193"/>
      <c r="AY443" s="1193"/>
      <c r="AZ443" s="1193"/>
      <c r="BA443" s="1193"/>
      <c r="BC443" s="1193"/>
      <c r="BE443" s="1193"/>
      <c r="BF443" s="1193"/>
      <c r="BG443" s="1193"/>
    </row>
    <row r="444" spans="18:59" x14ac:dyDescent="0.35">
      <c r="R444" s="1193"/>
      <c r="S444" s="1193"/>
      <c r="W444" s="1193"/>
      <c r="X444" s="1193"/>
      <c r="AE444" s="1193"/>
      <c r="AF444" s="1193"/>
      <c r="AV444" s="1193"/>
      <c r="AW444" s="1193"/>
      <c r="AX444" s="1193"/>
      <c r="AY444" s="1193"/>
      <c r="AZ444" s="1193"/>
      <c r="BA444" s="1193"/>
      <c r="BC444" s="1193"/>
      <c r="BE444" s="1193"/>
      <c r="BF444" s="1193"/>
      <c r="BG444" s="1193"/>
    </row>
    <row r="445" spans="18:59" x14ac:dyDescent="0.35">
      <c r="R445" s="1193"/>
      <c r="S445" s="1193"/>
      <c r="W445" s="1193"/>
      <c r="X445" s="1193"/>
      <c r="AE445" s="1193"/>
      <c r="AF445" s="1193"/>
      <c r="AV445" s="1193"/>
      <c r="AW445" s="1193"/>
      <c r="AX445" s="1193"/>
      <c r="AY445" s="1193"/>
      <c r="AZ445" s="1193"/>
      <c r="BA445" s="1193"/>
      <c r="BC445" s="1193"/>
      <c r="BE445" s="1193"/>
      <c r="BF445" s="1193"/>
      <c r="BG445" s="1193"/>
    </row>
    <row r="446" spans="18:59" x14ac:dyDescent="0.35">
      <c r="R446" s="1193"/>
      <c r="S446" s="1193"/>
      <c r="W446" s="1193"/>
      <c r="X446" s="1193"/>
      <c r="AE446" s="1193"/>
      <c r="AF446" s="1193"/>
      <c r="AV446" s="1193"/>
      <c r="AW446" s="1193"/>
      <c r="AX446" s="1193"/>
      <c r="AY446" s="1193"/>
      <c r="AZ446" s="1193"/>
      <c r="BA446" s="1193"/>
      <c r="BC446" s="1193"/>
      <c r="BE446" s="1193"/>
      <c r="BF446" s="1193"/>
      <c r="BG446" s="1193"/>
    </row>
    <row r="447" spans="18:59" x14ac:dyDescent="0.35">
      <c r="R447" s="1193"/>
      <c r="S447" s="1193"/>
      <c r="W447" s="1193"/>
      <c r="X447" s="1193"/>
      <c r="AE447" s="1193"/>
      <c r="AF447" s="1193"/>
      <c r="AV447" s="1193"/>
      <c r="AW447" s="1193"/>
      <c r="AX447" s="1193"/>
      <c r="AY447" s="1193"/>
      <c r="AZ447" s="1193"/>
      <c r="BA447" s="1193"/>
      <c r="BC447" s="1193"/>
      <c r="BE447" s="1193"/>
      <c r="BF447" s="1193"/>
      <c r="BG447" s="1193"/>
    </row>
    <row r="448" spans="18:59" x14ac:dyDescent="0.35">
      <c r="R448" s="1193"/>
      <c r="S448" s="1193"/>
      <c r="W448" s="1193"/>
      <c r="X448" s="1193"/>
      <c r="AE448" s="1193"/>
      <c r="AF448" s="1193"/>
      <c r="AV448" s="1193"/>
      <c r="AW448" s="1193"/>
      <c r="AX448" s="1193"/>
      <c r="AY448" s="1193"/>
      <c r="AZ448" s="1193"/>
      <c r="BA448" s="1193"/>
      <c r="BC448" s="1193"/>
      <c r="BE448" s="1193"/>
      <c r="BF448" s="1193"/>
      <c r="BG448" s="1193"/>
    </row>
    <row r="449" spans="18:59" x14ac:dyDescent="0.35">
      <c r="R449" s="1193"/>
      <c r="S449" s="1193"/>
      <c r="W449" s="1193"/>
      <c r="X449" s="1193"/>
      <c r="AE449" s="1193"/>
      <c r="AF449" s="1193"/>
      <c r="AV449" s="1193"/>
      <c r="AW449" s="1193"/>
      <c r="AX449" s="1193"/>
      <c r="AY449" s="1193"/>
      <c r="AZ449" s="1193"/>
      <c r="BA449" s="1193"/>
      <c r="BC449" s="1193"/>
      <c r="BE449" s="1193"/>
      <c r="BF449" s="1193"/>
      <c r="BG449" s="1193"/>
    </row>
    <row r="450" spans="18:59" x14ac:dyDescent="0.35">
      <c r="R450" s="1193"/>
      <c r="S450" s="1193"/>
      <c r="W450" s="1193"/>
      <c r="X450" s="1193"/>
      <c r="AE450" s="1193"/>
      <c r="AF450" s="1193"/>
      <c r="AV450" s="1193"/>
      <c r="AW450" s="1193"/>
      <c r="AX450" s="1193"/>
      <c r="AY450" s="1193"/>
      <c r="AZ450" s="1193"/>
      <c r="BA450" s="1193"/>
      <c r="BC450" s="1193"/>
      <c r="BE450" s="1193"/>
      <c r="BF450" s="1193"/>
      <c r="BG450" s="1193"/>
    </row>
    <row r="451" spans="18:59" x14ac:dyDescent="0.35">
      <c r="R451" s="1193"/>
      <c r="S451" s="1193"/>
      <c r="W451" s="1193"/>
      <c r="X451" s="1193"/>
      <c r="AE451" s="1193"/>
      <c r="AF451" s="1193"/>
      <c r="AV451" s="1193"/>
      <c r="AW451" s="1193"/>
      <c r="AX451" s="1193"/>
      <c r="AY451" s="1193"/>
      <c r="AZ451" s="1193"/>
      <c r="BA451" s="1193"/>
      <c r="BC451" s="1193"/>
      <c r="BE451" s="1193"/>
      <c r="BF451" s="1193"/>
      <c r="BG451" s="1193"/>
    </row>
    <row r="452" spans="18:59" x14ac:dyDescent="0.35">
      <c r="R452" s="1193"/>
      <c r="S452" s="1193"/>
      <c r="W452" s="1193"/>
      <c r="X452" s="1193"/>
      <c r="AE452" s="1193"/>
      <c r="AF452" s="1193"/>
      <c r="AV452" s="1193"/>
      <c r="AW452" s="1193"/>
      <c r="AX452" s="1193"/>
      <c r="AY452" s="1193"/>
      <c r="AZ452" s="1193"/>
      <c r="BA452" s="1193"/>
      <c r="BC452" s="1193"/>
      <c r="BE452" s="1193"/>
      <c r="BF452" s="1193"/>
      <c r="BG452" s="1193"/>
    </row>
    <row r="453" spans="18:59" x14ac:dyDescent="0.35">
      <c r="R453" s="1193"/>
      <c r="S453" s="1193"/>
      <c r="W453" s="1193"/>
      <c r="X453" s="1193"/>
      <c r="AE453" s="1193"/>
      <c r="AF453" s="1193"/>
      <c r="AV453" s="1193"/>
      <c r="AW453" s="1193"/>
      <c r="AX453" s="1193"/>
      <c r="AY453" s="1193"/>
      <c r="AZ453" s="1193"/>
      <c r="BA453" s="1193"/>
      <c r="BC453" s="1193"/>
      <c r="BE453" s="1193"/>
      <c r="BF453" s="1193"/>
      <c r="BG453" s="1193"/>
    </row>
    <row r="454" spans="18:59" x14ac:dyDescent="0.35">
      <c r="R454" s="1193"/>
      <c r="S454" s="1193"/>
      <c r="W454" s="1193"/>
      <c r="X454" s="1193"/>
      <c r="AE454" s="1193"/>
      <c r="AF454" s="1193"/>
      <c r="AV454" s="1193"/>
      <c r="AW454" s="1193"/>
      <c r="AX454" s="1193"/>
      <c r="AY454" s="1193"/>
      <c r="AZ454" s="1193"/>
      <c r="BA454" s="1193"/>
      <c r="BC454" s="1193"/>
      <c r="BE454" s="1193"/>
      <c r="BF454" s="1193"/>
      <c r="BG454" s="1193"/>
    </row>
    <row r="455" spans="18:59" x14ac:dyDescent="0.35">
      <c r="R455" s="1193"/>
      <c r="S455" s="1193"/>
      <c r="W455" s="1193"/>
      <c r="X455" s="1193"/>
      <c r="AE455" s="1193"/>
      <c r="AF455" s="1193"/>
      <c r="AV455" s="1193"/>
      <c r="AW455" s="1193"/>
      <c r="AX455" s="1193"/>
      <c r="AY455" s="1193"/>
      <c r="AZ455" s="1193"/>
      <c r="BA455" s="1193"/>
      <c r="BC455" s="1193"/>
      <c r="BE455" s="1193"/>
      <c r="BF455" s="1193"/>
      <c r="BG455" s="1193"/>
    </row>
    <row r="456" spans="18:59" x14ac:dyDescent="0.35">
      <c r="R456" s="1193"/>
      <c r="S456" s="1193"/>
      <c r="W456" s="1193"/>
      <c r="X456" s="1193"/>
      <c r="AE456" s="1193"/>
      <c r="AF456" s="1193"/>
      <c r="AV456" s="1193"/>
      <c r="AW456" s="1193"/>
      <c r="AX456" s="1193"/>
      <c r="AY456" s="1193"/>
      <c r="AZ456" s="1193"/>
      <c r="BA456" s="1193"/>
      <c r="BC456" s="1193"/>
      <c r="BE456" s="1193"/>
      <c r="BF456" s="1193"/>
      <c r="BG456" s="1193"/>
    </row>
    <row r="457" spans="18:59" x14ac:dyDescent="0.35">
      <c r="R457" s="1193"/>
      <c r="S457" s="1193"/>
      <c r="W457" s="1193"/>
      <c r="X457" s="1193"/>
      <c r="AE457" s="1193"/>
      <c r="AF457" s="1193"/>
      <c r="AV457" s="1193"/>
      <c r="AW457" s="1193"/>
      <c r="AX457" s="1193"/>
      <c r="AY457" s="1193"/>
      <c r="AZ457" s="1193"/>
      <c r="BA457" s="1193"/>
      <c r="BC457" s="1193"/>
      <c r="BE457" s="1193"/>
      <c r="BF457" s="1193"/>
      <c r="BG457" s="1193"/>
    </row>
    <row r="458" spans="18:59" x14ac:dyDescent="0.35">
      <c r="R458" s="1193"/>
      <c r="S458" s="1193"/>
      <c r="W458" s="1193"/>
      <c r="X458" s="1193"/>
      <c r="AE458" s="1193"/>
      <c r="AF458" s="1193"/>
      <c r="AV458" s="1193"/>
      <c r="AW458" s="1193"/>
      <c r="AX458" s="1193"/>
      <c r="AY458" s="1193"/>
      <c r="AZ458" s="1193"/>
      <c r="BA458" s="1193"/>
      <c r="BC458" s="1193"/>
      <c r="BE458" s="1193"/>
      <c r="BF458" s="1193"/>
      <c r="BG458" s="1193"/>
    </row>
    <row r="459" spans="18:59" x14ac:dyDescent="0.35">
      <c r="R459" s="1193"/>
      <c r="S459" s="1193"/>
      <c r="W459" s="1193"/>
      <c r="X459" s="1193"/>
      <c r="AE459" s="1193"/>
      <c r="AF459" s="1193"/>
      <c r="AV459" s="1193"/>
      <c r="AW459" s="1193"/>
      <c r="AX459" s="1193"/>
      <c r="AY459" s="1193"/>
      <c r="AZ459" s="1193"/>
      <c r="BA459" s="1193"/>
      <c r="BC459" s="1193"/>
      <c r="BE459" s="1193"/>
      <c r="BF459" s="1193"/>
      <c r="BG459" s="1193"/>
    </row>
    <row r="460" spans="18:59" x14ac:dyDescent="0.35">
      <c r="R460" s="1193"/>
      <c r="S460" s="1193"/>
      <c r="W460" s="1193"/>
      <c r="X460" s="1193"/>
      <c r="AE460" s="1193"/>
      <c r="AF460" s="1193"/>
      <c r="AV460" s="1193"/>
      <c r="AW460" s="1193"/>
      <c r="AX460" s="1193"/>
      <c r="AY460" s="1193"/>
      <c r="AZ460" s="1193"/>
      <c r="BA460" s="1193"/>
      <c r="BC460" s="1193"/>
      <c r="BE460" s="1193"/>
      <c r="BF460" s="1193"/>
      <c r="BG460" s="1193"/>
    </row>
    <row r="461" spans="18:59" x14ac:dyDescent="0.35">
      <c r="R461" s="1193"/>
      <c r="S461" s="1193"/>
      <c r="W461" s="1193"/>
      <c r="X461" s="1193"/>
      <c r="AE461" s="1193"/>
      <c r="AF461" s="1193"/>
      <c r="AV461" s="1193"/>
      <c r="AW461" s="1193"/>
      <c r="AX461" s="1193"/>
      <c r="AY461" s="1193"/>
      <c r="AZ461" s="1193"/>
      <c r="BA461" s="1193"/>
      <c r="BC461" s="1193"/>
      <c r="BE461" s="1193"/>
      <c r="BF461" s="1193"/>
      <c r="BG461" s="1193"/>
    </row>
    <row r="462" spans="18:59" x14ac:dyDescent="0.35">
      <c r="R462" s="1193"/>
      <c r="S462" s="1193"/>
      <c r="W462" s="1193"/>
      <c r="X462" s="1193"/>
      <c r="AE462" s="1193"/>
      <c r="AF462" s="1193"/>
      <c r="AV462" s="1193"/>
      <c r="AW462" s="1193"/>
      <c r="AX462" s="1193"/>
      <c r="AY462" s="1193"/>
      <c r="AZ462" s="1193"/>
      <c r="BA462" s="1193"/>
      <c r="BC462" s="1193"/>
      <c r="BE462" s="1193"/>
      <c r="BF462" s="1193"/>
      <c r="BG462" s="1193"/>
    </row>
    <row r="463" spans="18:59" x14ac:dyDescent="0.35">
      <c r="R463" s="1193"/>
      <c r="S463" s="1193"/>
      <c r="W463" s="1193"/>
      <c r="X463" s="1193"/>
      <c r="AE463" s="1193"/>
      <c r="AF463" s="1193"/>
      <c r="AV463" s="1193"/>
      <c r="AW463" s="1193"/>
      <c r="AX463" s="1193"/>
      <c r="AY463" s="1193"/>
      <c r="AZ463" s="1193"/>
      <c r="BA463" s="1193"/>
      <c r="BC463" s="1193"/>
      <c r="BE463" s="1193"/>
      <c r="BF463" s="1193"/>
      <c r="BG463" s="1193"/>
    </row>
    <row r="464" spans="18:59" x14ac:dyDescent="0.35">
      <c r="R464" s="1193"/>
      <c r="S464" s="1193"/>
      <c r="W464" s="1193"/>
      <c r="X464" s="1193"/>
      <c r="AE464" s="1193"/>
      <c r="AF464" s="1193"/>
      <c r="AV464" s="1193"/>
      <c r="AW464" s="1193"/>
      <c r="AX464" s="1193"/>
      <c r="AY464" s="1193"/>
      <c r="AZ464" s="1193"/>
      <c r="BA464" s="1193"/>
      <c r="BC464" s="1193"/>
      <c r="BE464" s="1193"/>
      <c r="BF464" s="1193"/>
      <c r="BG464" s="1193"/>
    </row>
    <row r="465" spans="18:59" x14ac:dyDescent="0.35">
      <c r="R465" s="1193"/>
      <c r="S465" s="1193"/>
      <c r="W465" s="1193"/>
      <c r="X465" s="1193"/>
      <c r="AE465" s="1193"/>
      <c r="AF465" s="1193"/>
      <c r="AV465" s="1193"/>
      <c r="AW465" s="1193"/>
      <c r="AX465" s="1193"/>
      <c r="AY465" s="1193"/>
      <c r="AZ465" s="1193"/>
      <c r="BA465" s="1193"/>
      <c r="BC465" s="1193"/>
      <c r="BE465" s="1193"/>
      <c r="BF465" s="1193"/>
      <c r="BG465" s="1193"/>
    </row>
    <row r="466" spans="18:59" x14ac:dyDescent="0.35">
      <c r="R466" s="1193"/>
      <c r="S466" s="1193"/>
      <c r="W466" s="1193"/>
      <c r="X466" s="1193"/>
      <c r="AE466" s="1193"/>
      <c r="AF466" s="1193"/>
      <c r="AV466" s="1193"/>
      <c r="AW466" s="1193"/>
      <c r="AX466" s="1193"/>
      <c r="AY466" s="1193"/>
      <c r="AZ466" s="1193"/>
      <c r="BA466" s="1193"/>
      <c r="BC466" s="1193"/>
      <c r="BE466" s="1193"/>
      <c r="BF466" s="1193"/>
      <c r="BG466" s="1193"/>
    </row>
    <row r="467" spans="18:59" x14ac:dyDescent="0.35">
      <c r="R467" s="1193"/>
      <c r="S467" s="1193"/>
      <c r="W467" s="1193"/>
      <c r="X467" s="1193"/>
      <c r="AE467" s="1193"/>
      <c r="AF467" s="1193"/>
      <c r="AV467" s="1193"/>
      <c r="AW467" s="1193"/>
      <c r="AX467" s="1193"/>
      <c r="AY467" s="1193"/>
      <c r="AZ467" s="1193"/>
      <c r="BA467" s="1193"/>
      <c r="BC467" s="1193"/>
      <c r="BE467" s="1193"/>
      <c r="BF467" s="1193"/>
      <c r="BG467" s="1193"/>
    </row>
    <row r="468" spans="18:59" x14ac:dyDescent="0.35">
      <c r="R468" s="1193"/>
      <c r="S468" s="1193"/>
      <c r="W468" s="1193"/>
      <c r="X468" s="1193"/>
      <c r="AE468" s="1193"/>
      <c r="AF468" s="1193"/>
      <c r="AV468" s="1193"/>
      <c r="AW468" s="1193"/>
      <c r="AX468" s="1193"/>
      <c r="AY468" s="1193"/>
      <c r="AZ468" s="1193"/>
      <c r="BA468" s="1193"/>
      <c r="BC468" s="1193"/>
      <c r="BE468" s="1193"/>
      <c r="BF468" s="1193"/>
      <c r="BG468" s="1193"/>
    </row>
    <row r="469" spans="18:59" x14ac:dyDescent="0.35">
      <c r="R469" s="1193"/>
      <c r="S469" s="1193"/>
      <c r="W469" s="1193"/>
      <c r="X469" s="1193"/>
      <c r="AE469" s="1193"/>
      <c r="AF469" s="1193"/>
      <c r="AV469" s="1193"/>
      <c r="AW469" s="1193"/>
      <c r="AX469" s="1193"/>
      <c r="AY469" s="1193"/>
      <c r="AZ469" s="1193"/>
      <c r="BA469" s="1193"/>
      <c r="BC469" s="1193"/>
      <c r="BE469" s="1193"/>
      <c r="BF469" s="1193"/>
      <c r="BG469" s="1193"/>
    </row>
    <row r="470" spans="18:59" x14ac:dyDescent="0.35">
      <c r="R470" s="1193"/>
      <c r="S470" s="1193"/>
      <c r="W470" s="1193"/>
      <c r="X470" s="1193"/>
      <c r="AE470" s="1193"/>
      <c r="AF470" s="1193"/>
      <c r="AV470" s="1193"/>
      <c r="AW470" s="1193"/>
      <c r="AX470" s="1193"/>
      <c r="AY470" s="1193"/>
      <c r="AZ470" s="1193"/>
      <c r="BA470" s="1193"/>
      <c r="BC470" s="1193"/>
      <c r="BE470" s="1193"/>
      <c r="BF470" s="1193"/>
      <c r="BG470" s="1193"/>
    </row>
    <row r="471" spans="18:59" x14ac:dyDescent="0.35">
      <c r="R471" s="1193"/>
      <c r="S471" s="1193"/>
      <c r="W471" s="1193"/>
      <c r="X471" s="1193"/>
      <c r="AE471" s="1193"/>
      <c r="AF471" s="1193"/>
      <c r="AV471" s="1193"/>
      <c r="AW471" s="1193"/>
      <c r="AX471" s="1193"/>
      <c r="AY471" s="1193"/>
      <c r="AZ471" s="1193"/>
      <c r="BA471" s="1193"/>
      <c r="BC471" s="1193"/>
      <c r="BE471" s="1193"/>
      <c r="BF471" s="1193"/>
      <c r="BG471" s="1193"/>
    </row>
    <row r="472" spans="18:59" x14ac:dyDescent="0.35">
      <c r="R472" s="1193"/>
      <c r="S472" s="1193"/>
      <c r="W472" s="1193"/>
      <c r="X472" s="1193"/>
      <c r="AE472" s="1193"/>
      <c r="AF472" s="1193"/>
      <c r="AV472" s="1193"/>
      <c r="AW472" s="1193"/>
      <c r="AX472" s="1193"/>
      <c r="AY472" s="1193"/>
      <c r="AZ472" s="1193"/>
      <c r="BA472" s="1193"/>
      <c r="BC472" s="1193"/>
      <c r="BE472" s="1193"/>
      <c r="BF472" s="1193"/>
      <c r="BG472" s="1193"/>
    </row>
    <row r="473" spans="18:59" x14ac:dyDescent="0.35">
      <c r="R473" s="1193"/>
      <c r="S473" s="1193"/>
      <c r="W473" s="1193"/>
      <c r="X473" s="1193"/>
      <c r="AE473" s="1193"/>
      <c r="AF473" s="1193"/>
      <c r="AV473" s="1193"/>
      <c r="AW473" s="1193"/>
      <c r="AX473" s="1193"/>
      <c r="AY473" s="1193"/>
      <c r="AZ473" s="1193"/>
      <c r="BA473" s="1193"/>
      <c r="BC473" s="1193"/>
      <c r="BE473" s="1193"/>
      <c r="BF473" s="1193"/>
      <c r="BG473" s="1193"/>
    </row>
    <row r="474" spans="18:59" x14ac:dyDescent="0.35">
      <c r="R474" s="1193"/>
      <c r="S474" s="1193"/>
      <c r="W474" s="1193"/>
      <c r="X474" s="1193"/>
      <c r="AE474" s="1193"/>
      <c r="AF474" s="1193"/>
      <c r="AV474" s="1193"/>
      <c r="AW474" s="1193"/>
      <c r="AX474" s="1193"/>
      <c r="AY474" s="1193"/>
      <c r="AZ474" s="1193"/>
      <c r="BA474" s="1193"/>
      <c r="BC474" s="1193"/>
      <c r="BE474" s="1193"/>
      <c r="BF474" s="1193"/>
      <c r="BG474" s="1193"/>
    </row>
    <row r="475" spans="18:59" x14ac:dyDescent="0.35">
      <c r="R475" s="1193"/>
      <c r="S475" s="1193"/>
      <c r="W475" s="1193"/>
      <c r="X475" s="1193"/>
      <c r="AE475" s="1193"/>
      <c r="AF475" s="1193"/>
      <c r="AV475" s="1193"/>
      <c r="AW475" s="1193"/>
      <c r="AX475" s="1193"/>
      <c r="AY475" s="1193"/>
      <c r="AZ475" s="1193"/>
      <c r="BA475" s="1193"/>
      <c r="BC475" s="1193"/>
      <c r="BE475" s="1193"/>
      <c r="BF475" s="1193"/>
      <c r="BG475" s="1193"/>
    </row>
    <row r="476" spans="18:59" x14ac:dyDescent="0.35">
      <c r="R476" s="1193"/>
      <c r="S476" s="1193"/>
      <c r="W476" s="1193"/>
      <c r="X476" s="1193"/>
      <c r="AE476" s="1193"/>
      <c r="AF476" s="1193"/>
      <c r="AV476" s="1193"/>
      <c r="AW476" s="1193"/>
      <c r="AX476" s="1193"/>
      <c r="AY476" s="1193"/>
      <c r="AZ476" s="1193"/>
      <c r="BA476" s="1193"/>
      <c r="BC476" s="1193"/>
      <c r="BE476" s="1193"/>
      <c r="BF476" s="1193"/>
      <c r="BG476" s="1193"/>
    </row>
    <row r="477" spans="18:59" x14ac:dyDescent="0.35">
      <c r="R477" s="1193"/>
      <c r="S477" s="1193"/>
      <c r="W477" s="1193"/>
      <c r="X477" s="1193"/>
      <c r="AE477" s="1193"/>
      <c r="AF477" s="1193"/>
      <c r="AV477" s="1193"/>
      <c r="AW477" s="1193"/>
      <c r="AX477" s="1193"/>
      <c r="AY477" s="1193"/>
      <c r="AZ477" s="1193"/>
      <c r="BA477" s="1193"/>
      <c r="BC477" s="1193"/>
      <c r="BE477" s="1193"/>
      <c r="BF477" s="1193"/>
      <c r="BG477" s="1193"/>
    </row>
    <row r="478" spans="18:59" x14ac:dyDescent="0.35">
      <c r="R478" s="1193"/>
      <c r="S478" s="1193"/>
      <c r="W478" s="1193"/>
      <c r="X478" s="1193"/>
      <c r="AE478" s="1193"/>
      <c r="AF478" s="1193"/>
      <c r="AV478" s="1193"/>
      <c r="AW478" s="1193"/>
      <c r="AX478" s="1193"/>
      <c r="AY478" s="1193"/>
      <c r="AZ478" s="1193"/>
      <c r="BA478" s="1193"/>
      <c r="BC478" s="1193"/>
      <c r="BE478" s="1193"/>
      <c r="BF478" s="1193"/>
      <c r="BG478" s="1193"/>
    </row>
    <row r="479" spans="18:59" x14ac:dyDescent="0.35">
      <c r="R479" s="1193"/>
      <c r="S479" s="1193"/>
      <c r="W479" s="1193"/>
      <c r="X479" s="1193"/>
      <c r="AE479" s="1193"/>
      <c r="AF479" s="1193"/>
      <c r="AV479" s="1193"/>
      <c r="AW479" s="1193"/>
      <c r="AX479" s="1193"/>
      <c r="AY479" s="1193"/>
      <c r="AZ479" s="1193"/>
      <c r="BA479" s="1193"/>
      <c r="BC479" s="1193"/>
      <c r="BE479" s="1193"/>
      <c r="BF479" s="1193"/>
      <c r="BG479" s="1193"/>
    </row>
    <row r="480" spans="18:59" x14ac:dyDescent="0.35">
      <c r="R480" s="1193"/>
      <c r="S480" s="1193"/>
      <c r="W480" s="1193"/>
      <c r="X480" s="1193"/>
      <c r="AE480" s="1193"/>
      <c r="AF480" s="1193"/>
      <c r="AV480" s="1193"/>
      <c r="AW480" s="1193"/>
      <c r="AX480" s="1193"/>
      <c r="AY480" s="1193"/>
      <c r="AZ480" s="1193"/>
      <c r="BA480" s="1193"/>
      <c r="BC480" s="1193"/>
      <c r="BE480" s="1193"/>
      <c r="BF480" s="1193"/>
      <c r="BG480" s="1193"/>
    </row>
    <row r="481" spans="18:59" x14ac:dyDescent="0.35">
      <c r="R481" s="1193"/>
      <c r="S481" s="1193"/>
      <c r="W481" s="1193"/>
      <c r="X481" s="1193"/>
      <c r="AE481" s="1193"/>
      <c r="AF481" s="1193"/>
      <c r="AV481" s="1193"/>
      <c r="AW481" s="1193"/>
      <c r="AX481" s="1193"/>
      <c r="AY481" s="1193"/>
      <c r="AZ481" s="1193"/>
      <c r="BA481" s="1193"/>
      <c r="BC481" s="1193"/>
      <c r="BE481" s="1193"/>
      <c r="BF481" s="1193"/>
      <c r="BG481" s="1193"/>
    </row>
    <row r="482" spans="18:59" x14ac:dyDescent="0.35">
      <c r="R482" s="1193"/>
      <c r="S482" s="1193"/>
      <c r="W482" s="1193"/>
      <c r="X482" s="1193"/>
      <c r="AE482" s="1193"/>
      <c r="AF482" s="1193"/>
      <c r="AV482" s="1193"/>
      <c r="AW482" s="1193"/>
      <c r="AX482" s="1193"/>
      <c r="AY482" s="1193"/>
      <c r="AZ482" s="1193"/>
      <c r="BA482" s="1193"/>
      <c r="BC482" s="1193"/>
      <c r="BE482" s="1193"/>
      <c r="BF482" s="1193"/>
      <c r="BG482" s="1193"/>
    </row>
    <row r="483" spans="18:59" x14ac:dyDescent="0.35">
      <c r="R483" s="1193"/>
      <c r="S483" s="1193"/>
      <c r="W483" s="1193"/>
      <c r="X483" s="1193"/>
      <c r="AE483" s="1193"/>
      <c r="AF483" s="1193"/>
      <c r="AV483" s="1193"/>
      <c r="AW483" s="1193"/>
      <c r="AX483" s="1193"/>
      <c r="AY483" s="1193"/>
      <c r="AZ483" s="1193"/>
      <c r="BA483" s="1193"/>
      <c r="BC483" s="1193"/>
      <c r="BE483" s="1193"/>
      <c r="BF483" s="1193"/>
      <c r="BG483" s="1193"/>
    </row>
    <row r="484" spans="18:59" x14ac:dyDescent="0.35">
      <c r="R484" s="1193"/>
      <c r="S484" s="1193"/>
      <c r="W484" s="1193"/>
      <c r="X484" s="1193"/>
      <c r="AE484" s="1193"/>
      <c r="AF484" s="1193"/>
      <c r="AV484" s="1193"/>
      <c r="AW484" s="1193"/>
      <c r="AX484" s="1193"/>
      <c r="AY484" s="1193"/>
      <c r="AZ484" s="1193"/>
      <c r="BA484" s="1193"/>
      <c r="BC484" s="1193"/>
      <c r="BE484" s="1193"/>
      <c r="BF484" s="1193"/>
      <c r="BG484" s="1193"/>
    </row>
    <row r="485" spans="18:59" x14ac:dyDescent="0.35">
      <c r="R485" s="1193"/>
      <c r="S485" s="1193"/>
      <c r="W485" s="1193"/>
      <c r="X485" s="1193"/>
      <c r="AE485" s="1193"/>
      <c r="AF485" s="1193"/>
      <c r="AV485" s="1193"/>
      <c r="AW485" s="1193"/>
      <c r="AX485" s="1193"/>
      <c r="AY485" s="1193"/>
      <c r="AZ485" s="1193"/>
      <c r="BA485" s="1193"/>
      <c r="BC485" s="1193"/>
      <c r="BE485" s="1193"/>
      <c r="BF485" s="1193"/>
      <c r="BG485" s="1193"/>
    </row>
    <row r="486" spans="18:59" x14ac:dyDescent="0.35">
      <c r="R486" s="1193"/>
      <c r="S486" s="1193"/>
      <c r="W486" s="1193"/>
      <c r="X486" s="1193"/>
      <c r="AE486" s="1193"/>
      <c r="AF486" s="1193"/>
      <c r="AV486" s="1193"/>
      <c r="AW486" s="1193"/>
      <c r="AX486" s="1193"/>
      <c r="AY486" s="1193"/>
      <c r="AZ486" s="1193"/>
      <c r="BA486" s="1193"/>
      <c r="BC486" s="1193"/>
      <c r="BE486" s="1193"/>
      <c r="BF486" s="1193"/>
      <c r="BG486" s="1193"/>
    </row>
    <row r="487" spans="18:59" x14ac:dyDescent="0.35">
      <c r="R487" s="1193"/>
      <c r="S487" s="1193"/>
      <c r="W487" s="1193"/>
      <c r="X487" s="1193"/>
      <c r="AE487" s="1193"/>
      <c r="AF487" s="1193"/>
      <c r="AV487" s="1193"/>
      <c r="AW487" s="1193"/>
      <c r="AX487" s="1193"/>
      <c r="AY487" s="1193"/>
      <c r="AZ487" s="1193"/>
      <c r="BA487" s="1193"/>
      <c r="BC487" s="1193"/>
      <c r="BE487" s="1193"/>
      <c r="BF487" s="1193"/>
      <c r="BG487" s="1193"/>
    </row>
    <row r="488" spans="18:59" x14ac:dyDescent="0.35">
      <c r="R488" s="1193"/>
      <c r="S488" s="1193"/>
      <c r="W488" s="1193"/>
      <c r="X488" s="1193"/>
      <c r="AE488" s="1193"/>
      <c r="AF488" s="1193"/>
      <c r="AV488" s="1193"/>
      <c r="AW488" s="1193"/>
      <c r="AX488" s="1193"/>
      <c r="AY488" s="1193"/>
      <c r="AZ488" s="1193"/>
      <c r="BA488" s="1193"/>
      <c r="BC488" s="1193"/>
      <c r="BE488" s="1193"/>
      <c r="BF488" s="1193"/>
      <c r="BG488" s="1193"/>
    </row>
    <row r="489" spans="18:59" x14ac:dyDescent="0.35">
      <c r="R489" s="1193"/>
      <c r="S489" s="1193"/>
      <c r="W489" s="1193"/>
      <c r="X489" s="1193"/>
      <c r="AE489" s="1193"/>
      <c r="AF489" s="1193"/>
      <c r="AV489" s="1193"/>
      <c r="AW489" s="1193"/>
      <c r="AX489" s="1193"/>
      <c r="AY489" s="1193"/>
      <c r="AZ489" s="1193"/>
      <c r="BA489" s="1193"/>
      <c r="BC489" s="1193"/>
      <c r="BE489" s="1193"/>
      <c r="BF489" s="1193"/>
      <c r="BG489" s="1193"/>
    </row>
    <row r="490" spans="18:59" x14ac:dyDescent="0.35">
      <c r="R490" s="1193"/>
      <c r="S490" s="1193"/>
      <c r="W490" s="1193"/>
      <c r="X490" s="1193"/>
      <c r="AE490" s="1193"/>
      <c r="AF490" s="1193"/>
      <c r="AV490" s="1193"/>
      <c r="AW490" s="1193"/>
      <c r="AX490" s="1193"/>
      <c r="AY490" s="1193"/>
      <c r="AZ490" s="1193"/>
      <c r="BA490" s="1193"/>
      <c r="BC490" s="1193"/>
      <c r="BE490" s="1193"/>
      <c r="BF490" s="1193"/>
      <c r="BG490" s="1193"/>
    </row>
    <row r="491" spans="18:59" x14ac:dyDescent="0.35">
      <c r="R491" s="1193"/>
      <c r="S491" s="1193"/>
      <c r="W491" s="1193"/>
      <c r="X491" s="1193"/>
      <c r="AE491" s="1193"/>
      <c r="AF491" s="1193"/>
      <c r="AV491" s="1193"/>
      <c r="AW491" s="1193"/>
      <c r="AX491" s="1193"/>
      <c r="AY491" s="1193"/>
      <c r="AZ491" s="1193"/>
      <c r="BA491" s="1193"/>
      <c r="BC491" s="1193"/>
      <c r="BE491" s="1193"/>
      <c r="BF491" s="1193"/>
      <c r="BG491" s="1193"/>
    </row>
    <row r="492" spans="18:59" x14ac:dyDescent="0.35">
      <c r="R492" s="1193"/>
      <c r="S492" s="1193"/>
      <c r="W492" s="1193"/>
      <c r="X492" s="1193"/>
      <c r="AE492" s="1193"/>
      <c r="AF492" s="1193"/>
      <c r="AV492" s="1193"/>
      <c r="AW492" s="1193"/>
      <c r="AX492" s="1193"/>
      <c r="AY492" s="1193"/>
      <c r="AZ492" s="1193"/>
      <c r="BA492" s="1193"/>
      <c r="BC492" s="1193"/>
      <c r="BE492" s="1193"/>
      <c r="BF492" s="1193"/>
      <c r="BG492" s="1193"/>
    </row>
    <row r="493" spans="18:59" x14ac:dyDescent="0.35">
      <c r="R493" s="1193"/>
      <c r="S493" s="1193"/>
      <c r="W493" s="1193"/>
      <c r="X493" s="1193"/>
      <c r="AE493" s="1193"/>
      <c r="AF493" s="1193"/>
      <c r="AV493" s="1193"/>
      <c r="AW493" s="1193"/>
      <c r="AX493" s="1193"/>
      <c r="AY493" s="1193"/>
      <c r="AZ493" s="1193"/>
      <c r="BA493" s="1193"/>
      <c r="BC493" s="1193"/>
      <c r="BE493" s="1193"/>
      <c r="BF493" s="1193"/>
      <c r="BG493" s="1193"/>
    </row>
    <row r="494" spans="18:59" x14ac:dyDescent="0.35">
      <c r="R494" s="1193"/>
      <c r="S494" s="1193"/>
      <c r="W494" s="1193"/>
      <c r="X494" s="1193"/>
      <c r="AE494" s="1193"/>
      <c r="AF494" s="1193"/>
      <c r="AV494" s="1193"/>
      <c r="AW494" s="1193"/>
      <c r="AX494" s="1193"/>
      <c r="AY494" s="1193"/>
      <c r="AZ494" s="1193"/>
      <c r="BA494" s="1193"/>
      <c r="BC494" s="1193"/>
      <c r="BE494" s="1193"/>
      <c r="BF494" s="1193"/>
      <c r="BG494" s="1193"/>
    </row>
    <row r="495" spans="18:59" x14ac:dyDescent="0.35">
      <c r="R495" s="1193"/>
      <c r="S495" s="1193"/>
      <c r="W495" s="1193"/>
      <c r="X495" s="1193"/>
      <c r="AE495" s="1193"/>
      <c r="AF495" s="1193"/>
      <c r="AV495" s="1193"/>
      <c r="AW495" s="1193"/>
      <c r="AX495" s="1193"/>
      <c r="AY495" s="1193"/>
      <c r="AZ495" s="1193"/>
      <c r="BA495" s="1193"/>
      <c r="BC495" s="1193"/>
      <c r="BE495" s="1193"/>
      <c r="BF495" s="1193"/>
      <c r="BG495" s="1193"/>
    </row>
    <row r="496" spans="18:59" x14ac:dyDescent="0.35">
      <c r="R496" s="1193"/>
      <c r="S496" s="1193"/>
      <c r="W496" s="1193"/>
      <c r="X496" s="1193"/>
      <c r="AE496" s="1193"/>
      <c r="AF496" s="1193"/>
      <c r="AV496" s="1193"/>
      <c r="AW496" s="1193"/>
      <c r="AX496" s="1193"/>
      <c r="AY496" s="1193"/>
      <c r="AZ496" s="1193"/>
      <c r="BA496" s="1193"/>
      <c r="BC496" s="1193"/>
      <c r="BE496" s="1193"/>
      <c r="BF496" s="1193"/>
      <c r="BG496" s="1193"/>
    </row>
    <row r="497" spans="18:59" x14ac:dyDescent="0.35">
      <c r="R497" s="1193"/>
      <c r="S497" s="1193"/>
      <c r="W497" s="1193"/>
      <c r="X497" s="1193"/>
      <c r="AE497" s="1193"/>
      <c r="AF497" s="1193"/>
      <c r="AV497" s="1193"/>
      <c r="AW497" s="1193"/>
      <c r="AX497" s="1193"/>
      <c r="AY497" s="1193"/>
      <c r="AZ497" s="1193"/>
      <c r="BA497" s="1193"/>
      <c r="BC497" s="1193"/>
      <c r="BE497" s="1193"/>
      <c r="BF497" s="1193"/>
      <c r="BG497" s="1193"/>
    </row>
    <row r="498" spans="18:59" x14ac:dyDescent="0.35">
      <c r="R498" s="1193"/>
      <c r="S498" s="1193"/>
      <c r="W498" s="1193"/>
      <c r="X498" s="1193"/>
      <c r="AE498" s="1193"/>
      <c r="AF498" s="1193"/>
      <c r="AV498" s="1193"/>
      <c r="AW498" s="1193"/>
      <c r="AX498" s="1193"/>
      <c r="AY498" s="1193"/>
      <c r="AZ498" s="1193"/>
      <c r="BA498" s="1193"/>
      <c r="BC498" s="1193"/>
      <c r="BE498" s="1193"/>
      <c r="BF498" s="1193"/>
      <c r="BG498" s="1193"/>
    </row>
    <row r="499" spans="18:59" x14ac:dyDescent="0.35">
      <c r="R499" s="1193"/>
      <c r="S499" s="1193"/>
      <c r="W499" s="1193"/>
      <c r="X499" s="1193"/>
      <c r="AE499" s="1193"/>
      <c r="AF499" s="1193"/>
      <c r="AV499" s="1193"/>
      <c r="AW499" s="1193"/>
      <c r="AX499" s="1193"/>
      <c r="AY499" s="1193"/>
      <c r="AZ499" s="1193"/>
      <c r="BA499" s="1193"/>
      <c r="BC499" s="1193"/>
      <c r="BE499" s="1193"/>
      <c r="BF499" s="1193"/>
      <c r="BG499" s="1193"/>
    </row>
    <row r="500" spans="18:59" x14ac:dyDescent="0.35">
      <c r="R500" s="1193"/>
      <c r="S500" s="1193"/>
      <c r="W500" s="1193"/>
      <c r="X500" s="1193"/>
      <c r="AE500" s="1193"/>
      <c r="AF500" s="1193"/>
      <c r="AV500" s="1193"/>
      <c r="AW500" s="1193"/>
      <c r="AX500" s="1193"/>
      <c r="AY500" s="1193"/>
      <c r="AZ500" s="1193"/>
      <c r="BA500" s="1193"/>
      <c r="BC500" s="1193"/>
      <c r="BE500" s="1193"/>
      <c r="BF500" s="1193"/>
      <c r="BG500" s="1193"/>
    </row>
    <row r="501" spans="18:59" x14ac:dyDescent="0.35">
      <c r="R501" s="1193"/>
      <c r="S501" s="1193"/>
      <c r="W501" s="1193"/>
      <c r="X501" s="1193"/>
      <c r="AE501" s="1193"/>
      <c r="AF501" s="1193"/>
      <c r="AV501" s="1193"/>
      <c r="AW501" s="1193"/>
      <c r="AX501" s="1193"/>
      <c r="AY501" s="1193"/>
      <c r="AZ501" s="1193"/>
      <c r="BA501" s="1193"/>
      <c r="BC501" s="1193"/>
      <c r="BE501" s="1193"/>
      <c r="BF501" s="1193"/>
      <c r="BG501" s="1193"/>
    </row>
    <row r="502" spans="18:59" x14ac:dyDescent="0.35">
      <c r="R502" s="1193"/>
      <c r="S502" s="1193"/>
      <c r="W502" s="1193"/>
      <c r="X502" s="1193"/>
      <c r="AE502" s="1193"/>
      <c r="AF502" s="1193"/>
      <c r="AV502" s="1193"/>
      <c r="AW502" s="1193"/>
      <c r="AX502" s="1193"/>
      <c r="AY502" s="1193"/>
      <c r="AZ502" s="1193"/>
      <c r="BA502" s="1193"/>
      <c r="BC502" s="1193"/>
      <c r="BE502" s="1193"/>
      <c r="BF502" s="1193"/>
      <c r="BG502" s="1193"/>
    </row>
  </sheetData>
  <mergeCells count="6">
    <mergeCell ref="I1:K1"/>
    <mergeCell ref="Y2:AD2"/>
    <mergeCell ref="AG2:AI2"/>
    <mergeCell ref="AU2:BA2"/>
    <mergeCell ref="AJ2:AS2"/>
    <mergeCell ref="P2:S2"/>
  </mergeCells>
  <pageMargins left="0.7" right="0.7" top="0.75" bottom="0.75" header="0.3" footer="0.3"/>
  <pageSetup orientation="portrait" r:id="rId1"/>
  <drawing r:id="rId2"/>
  <legacy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A17" sqref="A17"/>
    </sheetView>
  </sheetViews>
  <sheetFormatPr defaultColWidth="10.90625" defaultRowHeight="14.5" x14ac:dyDescent="0.35"/>
  <cols>
    <col min="1" max="1" width="23.1796875" customWidth="1"/>
  </cols>
  <sheetData>
    <row r="1" spans="1:22" x14ac:dyDescent="0.35">
      <c r="A1" s="1198" t="s">
        <v>724</v>
      </c>
      <c r="B1" s="1198"/>
      <c r="C1" s="1198"/>
      <c r="D1" s="1198"/>
    </row>
    <row r="2" spans="1:22" x14ac:dyDescent="0.35">
      <c r="A2" t="s">
        <v>725</v>
      </c>
      <c r="B2" s="210">
        <v>2021</v>
      </c>
      <c r="C2" s="210">
        <v>2021</v>
      </c>
      <c r="D2" s="210">
        <v>2021</v>
      </c>
      <c r="E2" s="210">
        <v>2022</v>
      </c>
      <c r="F2" s="210">
        <v>2022</v>
      </c>
      <c r="G2" s="210">
        <v>2022</v>
      </c>
      <c r="H2" s="210">
        <v>2022</v>
      </c>
      <c r="I2" s="210">
        <v>2023</v>
      </c>
      <c r="J2" s="210">
        <v>2023</v>
      </c>
      <c r="K2" s="210">
        <v>2023</v>
      </c>
      <c r="L2" s="210">
        <v>2023</v>
      </c>
      <c r="M2" s="210">
        <v>2024</v>
      </c>
      <c r="N2" s="210">
        <v>2024</v>
      </c>
      <c r="O2" s="210">
        <v>2024</v>
      </c>
      <c r="P2" s="210">
        <v>2024</v>
      </c>
      <c r="Q2" s="210">
        <v>2025</v>
      </c>
      <c r="R2" s="210">
        <v>2025</v>
      </c>
      <c r="S2" s="210">
        <v>2025</v>
      </c>
      <c r="T2" s="210">
        <v>2025</v>
      </c>
      <c r="U2" s="210">
        <v>2026</v>
      </c>
    </row>
    <row r="3" spans="1:22" x14ac:dyDescent="0.35">
      <c r="A3" s="1196" t="s">
        <v>726</v>
      </c>
      <c r="B3" s="747" t="s">
        <v>727</v>
      </c>
      <c r="C3" s="747" t="s">
        <v>728</v>
      </c>
      <c r="D3" s="747" t="s">
        <v>729</v>
      </c>
      <c r="E3" s="747" t="s">
        <v>730</v>
      </c>
      <c r="F3" s="747" t="s">
        <v>731</v>
      </c>
      <c r="G3" s="747" t="s">
        <v>732</v>
      </c>
      <c r="H3" s="747" t="s">
        <v>733</v>
      </c>
      <c r="I3" s="747" t="s">
        <v>734</v>
      </c>
      <c r="J3" s="747" t="s">
        <v>735</v>
      </c>
      <c r="K3" s="747" t="s">
        <v>736</v>
      </c>
      <c r="L3" s="747" t="s">
        <v>737</v>
      </c>
      <c r="M3" s="747" t="s">
        <v>738</v>
      </c>
      <c r="N3" s="747" t="s">
        <v>739</v>
      </c>
      <c r="O3" s="747" t="s">
        <v>740</v>
      </c>
      <c r="P3" s="747" t="s">
        <v>741</v>
      </c>
      <c r="Q3" s="747" t="s">
        <v>742</v>
      </c>
      <c r="R3" s="747" t="s">
        <v>743</v>
      </c>
      <c r="S3" s="747" t="s">
        <v>744</v>
      </c>
      <c r="T3" s="747" t="s">
        <v>745</v>
      </c>
      <c r="U3" s="747" t="s">
        <v>746</v>
      </c>
    </row>
    <row r="4" spans="1:22" x14ac:dyDescent="0.35">
      <c r="A4" s="1196" t="s">
        <v>747</v>
      </c>
      <c r="B4" s="747"/>
      <c r="C4" s="747"/>
      <c r="D4" s="747">
        <v>0</v>
      </c>
      <c r="E4" s="747">
        <v>0</v>
      </c>
      <c r="F4" s="747">
        <v>0.5</v>
      </c>
      <c r="G4" s="747">
        <v>0.5</v>
      </c>
      <c r="H4" s="747">
        <v>0</v>
      </c>
      <c r="I4" s="747">
        <v>0</v>
      </c>
      <c r="J4" s="747">
        <v>0</v>
      </c>
      <c r="K4" s="747">
        <v>0</v>
      </c>
      <c r="L4" s="747">
        <v>0</v>
      </c>
      <c r="M4" s="747">
        <v>0</v>
      </c>
      <c r="N4" s="747">
        <v>0</v>
      </c>
      <c r="O4" s="747">
        <v>0</v>
      </c>
      <c r="P4" s="747">
        <v>0</v>
      </c>
      <c r="Q4" s="747">
        <v>0</v>
      </c>
      <c r="R4" s="747">
        <v>0</v>
      </c>
      <c r="S4" s="747">
        <v>0</v>
      </c>
      <c r="T4" s="747">
        <v>0</v>
      </c>
      <c r="U4" s="747">
        <v>0</v>
      </c>
    </row>
    <row r="5" spans="1:22" x14ac:dyDescent="0.35">
      <c r="A5" s="1196" t="s">
        <v>748</v>
      </c>
      <c r="B5" s="747">
        <v>0.04</v>
      </c>
      <c r="C5" s="747">
        <v>0.48</v>
      </c>
      <c r="D5" s="747">
        <v>0.48</v>
      </c>
      <c r="E5" s="747">
        <v>0</v>
      </c>
      <c r="F5" s="747">
        <v>0</v>
      </c>
      <c r="G5" s="747">
        <v>0</v>
      </c>
      <c r="H5" s="747">
        <v>0</v>
      </c>
      <c r="I5" s="747">
        <v>0</v>
      </c>
      <c r="J5" s="747">
        <v>0</v>
      </c>
      <c r="K5" s="747">
        <v>0</v>
      </c>
      <c r="L5" s="747">
        <v>0</v>
      </c>
      <c r="M5" s="747">
        <v>0</v>
      </c>
      <c r="N5" s="747">
        <v>0</v>
      </c>
      <c r="O5" s="747">
        <v>0</v>
      </c>
      <c r="P5" s="747">
        <v>0</v>
      </c>
      <c r="Q5" s="747">
        <v>0</v>
      </c>
      <c r="R5" s="747">
        <v>0</v>
      </c>
      <c r="S5" s="747">
        <v>0</v>
      </c>
      <c r="T5" s="747">
        <v>0</v>
      </c>
      <c r="U5" s="747">
        <v>0</v>
      </c>
    </row>
    <row r="6" spans="1:22" x14ac:dyDescent="0.35">
      <c r="A6" s="1196" t="s">
        <v>749</v>
      </c>
      <c r="B6" s="747">
        <f>B8</f>
        <v>0</v>
      </c>
      <c r="C6" s="747">
        <f>C8</f>
        <v>0.43</v>
      </c>
      <c r="D6" s="747">
        <f t="shared" ref="D6:U6" si="0">D8</f>
        <v>0.56999999999999995</v>
      </c>
      <c r="E6" s="747">
        <f t="shared" si="0"/>
        <v>0.25</v>
      </c>
      <c r="F6" s="747">
        <f t="shared" si="0"/>
        <v>0.25</v>
      </c>
      <c r="G6" s="747">
        <f t="shared" si="0"/>
        <v>0.25</v>
      </c>
      <c r="H6" s="747">
        <f t="shared" si="0"/>
        <v>0.25</v>
      </c>
      <c r="I6" s="747">
        <f t="shared" si="0"/>
        <v>0.25</v>
      </c>
      <c r="J6" s="747">
        <f t="shared" si="0"/>
        <v>0.25</v>
      </c>
      <c r="K6" s="747">
        <f t="shared" si="0"/>
        <v>0.25</v>
      </c>
      <c r="L6" s="747">
        <f t="shared" si="0"/>
        <v>0.25</v>
      </c>
      <c r="M6" s="747">
        <f t="shared" si="0"/>
        <v>0.25</v>
      </c>
      <c r="N6" s="747">
        <f t="shared" si="0"/>
        <v>0.25</v>
      </c>
      <c r="O6" s="747">
        <f t="shared" si="0"/>
        <v>0.25</v>
      </c>
      <c r="P6" s="747">
        <f t="shared" si="0"/>
        <v>0.25</v>
      </c>
      <c r="Q6" s="747">
        <f t="shared" si="0"/>
        <v>0.25</v>
      </c>
      <c r="R6" s="747">
        <f t="shared" si="0"/>
        <v>0.25</v>
      </c>
      <c r="S6" s="747">
        <f t="shared" si="0"/>
        <v>0.25</v>
      </c>
      <c r="T6" s="747">
        <f t="shared" si="0"/>
        <v>0.25</v>
      </c>
      <c r="U6" s="747">
        <f t="shared" si="0"/>
        <v>0.25</v>
      </c>
    </row>
    <row r="7" spans="1:22" x14ac:dyDescent="0.35">
      <c r="A7" s="1196" t="s">
        <v>750</v>
      </c>
      <c r="B7" s="747">
        <v>0</v>
      </c>
      <c r="C7" s="747">
        <v>0</v>
      </c>
      <c r="D7" s="747">
        <v>1</v>
      </c>
      <c r="E7" s="747">
        <v>0.25</v>
      </c>
      <c r="F7" s="747">
        <v>0.25</v>
      </c>
      <c r="G7" s="747">
        <v>0.25</v>
      </c>
      <c r="H7" s="747">
        <v>0.25</v>
      </c>
      <c r="I7" s="747">
        <v>0.25</v>
      </c>
      <c r="J7" s="747">
        <v>0.25</v>
      </c>
      <c r="K7" s="747">
        <v>0.25</v>
      </c>
      <c r="L7" s="747">
        <v>0.25</v>
      </c>
      <c r="M7" s="747">
        <v>0.25</v>
      </c>
      <c r="N7" s="747">
        <v>0.25</v>
      </c>
      <c r="O7" s="747">
        <v>0.25</v>
      </c>
      <c r="P7" s="747">
        <v>0.25</v>
      </c>
      <c r="Q7" s="747">
        <v>0.25</v>
      </c>
      <c r="R7" s="747">
        <v>0.25</v>
      </c>
      <c r="S7" s="747">
        <v>0.25</v>
      </c>
      <c r="T7" s="747">
        <v>0.25</v>
      </c>
      <c r="U7" s="747">
        <v>0.25</v>
      </c>
    </row>
    <row r="8" spans="1:22" x14ac:dyDescent="0.35">
      <c r="A8" s="1196" t="s">
        <v>751</v>
      </c>
      <c r="B8" s="747">
        <v>0</v>
      </c>
      <c r="C8" s="747">
        <v>0.43</v>
      </c>
      <c r="D8" s="747">
        <v>0.56999999999999995</v>
      </c>
      <c r="E8" s="747">
        <v>0.25</v>
      </c>
      <c r="F8" s="747">
        <v>0.25</v>
      </c>
      <c r="G8" s="747">
        <v>0.25</v>
      </c>
      <c r="H8" s="747">
        <v>0.25</v>
      </c>
      <c r="I8" s="747">
        <v>0.25</v>
      </c>
      <c r="J8" s="747">
        <v>0.25</v>
      </c>
      <c r="K8" s="747">
        <v>0.25</v>
      </c>
      <c r="L8" s="747">
        <v>0.25</v>
      </c>
      <c r="M8" s="747">
        <v>0.25</v>
      </c>
      <c r="N8" s="747">
        <v>0.25</v>
      </c>
      <c r="O8" s="747">
        <v>0.25</v>
      </c>
      <c r="P8" s="747">
        <v>0.25</v>
      </c>
      <c r="Q8" s="747">
        <v>0.25</v>
      </c>
      <c r="R8" s="747">
        <v>0.25</v>
      </c>
      <c r="S8" s="747">
        <v>0.25</v>
      </c>
      <c r="T8" s="747">
        <v>0.25</v>
      </c>
      <c r="U8" s="747">
        <v>0.25</v>
      </c>
    </row>
    <row r="9" spans="1:22" ht="27" customHeight="1" x14ac:dyDescent="0.35">
      <c r="A9" s="1196" t="s">
        <v>752</v>
      </c>
      <c r="B9" s="747">
        <v>0</v>
      </c>
      <c r="C9" s="747">
        <f>0.18</f>
        <v>0.18</v>
      </c>
      <c r="D9" s="747">
        <f>1-C9</f>
        <v>0.82000000000000006</v>
      </c>
      <c r="E9" s="747">
        <v>0.25</v>
      </c>
      <c r="F9" s="747">
        <v>0.25</v>
      </c>
      <c r="G9" s="747">
        <v>0.25</v>
      </c>
      <c r="H9" s="747">
        <v>0.25</v>
      </c>
      <c r="I9" s="747">
        <v>0.25</v>
      </c>
      <c r="J9" s="747">
        <v>0.25</v>
      </c>
      <c r="K9" s="747">
        <v>0.25</v>
      </c>
      <c r="L9" s="747">
        <v>0.25</v>
      </c>
      <c r="M9" s="747">
        <v>0.25</v>
      </c>
      <c r="N9" s="747">
        <v>0.25</v>
      </c>
      <c r="O9" s="747">
        <v>0.25</v>
      </c>
      <c r="P9" s="747">
        <v>0.25</v>
      </c>
      <c r="Q9" s="747">
        <v>0.25</v>
      </c>
      <c r="R9" s="747">
        <v>0.25</v>
      </c>
      <c r="S9" s="747">
        <v>0.25</v>
      </c>
      <c r="T9" s="747">
        <v>0.25</v>
      </c>
      <c r="U9" s="747">
        <v>0.25</v>
      </c>
    </row>
    <row r="10" spans="1:22" x14ac:dyDescent="0.35">
      <c r="A10" s="1196" t="s">
        <v>753</v>
      </c>
      <c r="B10" s="747">
        <v>0</v>
      </c>
      <c r="C10" s="747">
        <v>0.5</v>
      </c>
      <c r="D10" s="747">
        <v>0.5</v>
      </c>
      <c r="E10" s="747">
        <v>0.25</v>
      </c>
      <c r="F10" s="747">
        <v>0.25</v>
      </c>
      <c r="G10" s="747">
        <v>0.25</v>
      </c>
      <c r="H10" s="747">
        <v>0.25</v>
      </c>
      <c r="I10" s="747">
        <v>0.25</v>
      </c>
      <c r="J10" s="747">
        <v>0.25</v>
      </c>
      <c r="K10" s="747">
        <v>0.25</v>
      </c>
      <c r="L10" s="747">
        <v>0.25</v>
      </c>
      <c r="M10" s="747">
        <v>0.25</v>
      </c>
      <c r="N10" s="747">
        <v>0.25</v>
      </c>
      <c r="O10" s="747">
        <v>0.25</v>
      </c>
      <c r="P10" s="747">
        <v>0.25</v>
      </c>
      <c r="Q10" s="747">
        <v>0.25</v>
      </c>
      <c r="R10" s="747">
        <v>0.25</v>
      </c>
      <c r="S10" s="747">
        <v>0.25</v>
      </c>
      <c r="T10" s="747">
        <v>0.25</v>
      </c>
      <c r="U10" s="747">
        <v>0.25</v>
      </c>
    </row>
    <row r="11" spans="1:22" x14ac:dyDescent="0.35">
      <c r="A11" s="1196" t="s">
        <v>754</v>
      </c>
      <c r="B11" s="747">
        <v>0</v>
      </c>
      <c r="C11" s="747">
        <v>0.5</v>
      </c>
      <c r="D11" s="747">
        <v>0.5</v>
      </c>
      <c r="E11" s="747">
        <v>0.25</v>
      </c>
      <c r="F11" s="747">
        <v>0.25</v>
      </c>
      <c r="G11" s="747">
        <v>0.25</v>
      </c>
      <c r="H11" s="747">
        <v>0.25</v>
      </c>
      <c r="I11" s="747">
        <v>0.25</v>
      </c>
      <c r="J11" s="747">
        <v>0.25</v>
      </c>
      <c r="K11" s="747">
        <v>0.25</v>
      </c>
      <c r="L11" s="747">
        <v>0.25</v>
      </c>
      <c r="M11" s="747">
        <v>0.25</v>
      </c>
      <c r="N11" s="747">
        <v>0.25</v>
      </c>
      <c r="O11" s="747">
        <v>0.25</v>
      </c>
      <c r="P11" s="747">
        <v>0.25</v>
      </c>
      <c r="Q11" s="747">
        <v>0.25</v>
      </c>
      <c r="R11" s="747">
        <v>0.25</v>
      </c>
      <c r="S11" s="747">
        <v>0.25</v>
      </c>
      <c r="T11" s="747">
        <v>0.25</v>
      </c>
      <c r="U11" s="747">
        <v>0.25</v>
      </c>
    </row>
    <row r="12" spans="1:22" ht="14.25" customHeight="1" x14ac:dyDescent="0.35">
      <c r="A12" s="1196" t="s">
        <v>755</v>
      </c>
      <c r="B12" s="747">
        <v>1</v>
      </c>
      <c r="C12" s="747"/>
      <c r="D12" s="747"/>
      <c r="E12" s="747"/>
      <c r="F12" s="747"/>
      <c r="G12" s="747"/>
      <c r="H12" s="747"/>
      <c r="I12" s="747"/>
      <c r="J12" s="747"/>
      <c r="K12" s="747"/>
      <c r="L12" s="747"/>
      <c r="M12" s="747"/>
      <c r="N12" s="747"/>
      <c r="O12" s="747"/>
      <c r="P12" s="747"/>
      <c r="Q12" s="747"/>
      <c r="R12" s="747"/>
      <c r="S12" s="747"/>
      <c r="T12" s="747"/>
      <c r="U12" s="747"/>
    </row>
    <row r="13" spans="1:22" x14ac:dyDescent="0.35">
      <c r="A13" s="1196" t="s">
        <v>756</v>
      </c>
      <c r="B13" s="747">
        <v>0</v>
      </c>
      <c r="C13" s="747">
        <v>0.4</v>
      </c>
      <c r="D13" s="747">
        <v>0.6</v>
      </c>
      <c r="E13" s="747">
        <v>0.4</v>
      </c>
      <c r="F13" s="747">
        <v>0.3</v>
      </c>
      <c r="G13" s="747">
        <v>0.2</v>
      </c>
      <c r="H13" s="747">
        <v>0.1</v>
      </c>
      <c r="I13" s="747">
        <v>0.25</v>
      </c>
      <c r="J13" s="747">
        <v>0.25</v>
      </c>
      <c r="K13" s="747">
        <v>0.25</v>
      </c>
      <c r="L13" s="747">
        <v>0.25</v>
      </c>
      <c r="M13" s="747">
        <v>0.25</v>
      </c>
      <c r="N13" s="747">
        <v>0.25</v>
      </c>
      <c r="O13" s="747">
        <v>0.25</v>
      </c>
      <c r="P13" s="747">
        <v>0.25</v>
      </c>
      <c r="Q13" s="747">
        <v>0.25</v>
      </c>
      <c r="R13" s="747">
        <v>0.25</v>
      </c>
      <c r="S13" s="747">
        <v>0.25</v>
      </c>
      <c r="T13" s="747">
        <v>0.25</v>
      </c>
      <c r="U13" s="747">
        <v>0.25</v>
      </c>
    </row>
    <row r="14" spans="1:22" x14ac:dyDescent="0.35">
      <c r="A14" s="1196"/>
      <c r="B14" s="747"/>
      <c r="C14" s="747"/>
      <c r="D14" s="747"/>
      <c r="E14" s="747"/>
      <c r="F14" s="747"/>
      <c r="G14" s="747"/>
      <c r="H14" s="747"/>
      <c r="I14" s="747"/>
      <c r="J14" s="747"/>
      <c r="K14" s="747"/>
      <c r="L14" s="747"/>
      <c r="M14" s="747"/>
      <c r="N14" s="747"/>
      <c r="O14" s="747"/>
      <c r="P14" s="747"/>
      <c r="Q14" s="747"/>
      <c r="R14" s="747"/>
      <c r="S14" s="747"/>
      <c r="T14" s="747"/>
      <c r="U14" s="747"/>
    </row>
    <row r="15" spans="1:22" ht="27" customHeight="1" x14ac:dyDescent="0.35">
      <c r="A15" s="1197" t="s">
        <v>757</v>
      </c>
      <c r="B15" s="747">
        <v>1</v>
      </c>
      <c r="C15" s="747">
        <v>2</v>
      </c>
      <c r="D15" s="747">
        <v>3</v>
      </c>
      <c r="E15" s="747">
        <v>4</v>
      </c>
      <c r="F15" s="747">
        <v>5</v>
      </c>
      <c r="G15" s="747">
        <v>6</v>
      </c>
      <c r="H15" s="747">
        <v>7</v>
      </c>
      <c r="I15" s="747">
        <v>8</v>
      </c>
      <c r="J15" s="747">
        <v>9</v>
      </c>
      <c r="K15" s="747">
        <v>10</v>
      </c>
      <c r="L15" s="747">
        <v>11</v>
      </c>
      <c r="M15" s="747">
        <v>12</v>
      </c>
      <c r="N15" s="747">
        <v>13</v>
      </c>
      <c r="O15" s="747">
        <v>14</v>
      </c>
      <c r="P15" s="747">
        <v>15</v>
      </c>
      <c r="Q15" s="747">
        <v>16</v>
      </c>
      <c r="R15" s="747">
        <v>17</v>
      </c>
      <c r="S15" s="747">
        <v>18</v>
      </c>
      <c r="T15" s="747">
        <v>19</v>
      </c>
      <c r="U15" s="747">
        <v>20</v>
      </c>
    </row>
    <row r="16" spans="1:22" x14ac:dyDescent="0.35">
      <c r="A16" s="1196" t="s">
        <v>758</v>
      </c>
      <c r="B16" s="747">
        <v>7.0000000000000007E-2</v>
      </c>
      <c r="C16" s="747">
        <v>7.0000000000000007E-2</v>
      </c>
      <c r="D16" s="747">
        <v>4.9000000000000002E-2</v>
      </c>
      <c r="E16" s="747">
        <v>4.9000000000000002E-2</v>
      </c>
      <c r="F16" s="747">
        <v>4.9000000000000002E-2</v>
      </c>
      <c r="G16" s="747">
        <v>4.9000000000000002E-2</v>
      </c>
      <c r="H16" s="747">
        <v>4.9000000000000002E-2</v>
      </c>
      <c r="I16" s="747">
        <v>4.9000000000000002E-2</v>
      </c>
      <c r="J16" s="747">
        <v>4.9000000000000002E-2</v>
      </c>
      <c r="K16" s="747">
        <v>4.9000000000000002E-2</v>
      </c>
      <c r="L16" s="747">
        <v>4.9000000000000002E-2</v>
      </c>
      <c r="M16" s="747">
        <v>4.9000000000000002E-2</v>
      </c>
      <c r="N16" s="747">
        <f t="shared" ref="N16:T16" si="1">0.0475</f>
        <v>4.7500000000000001E-2</v>
      </c>
      <c r="O16" s="747">
        <f t="shared" si="1"/>
        <v>4.7500000000000001E-2</v>
      </c>
      <c r="P16" s="747">
        <f t="shared" si="1"/>
        <v>4.7500000000000001E-2</v>
      </c>
      <c r="Q16" s="747">
        <f t="shared" si="1"/>
        <v>4.7500000000000001E-2</v>
      </c>
      <c r="R16" s="747">
        <f t="shared" si="1"/>
        <v>4.7500000000000001E-2</v>
      </c>
      <c r="S16" s="747">
        <f t="shared" si="1"/>
        <v>4.7500000000000001E-2</v>
      </c>
      <c r="T16" s="747">
        <f t="shared" si="1"/>
        <v>4.7500000000000001E-2</v>
      </c>
      <c r="U16" s="747">
        <f>0.0375</f>
        <v>3.7499999999999999E-2</v>
      </c>
      <c r="V16" s="747">
        <f>SUM(B16:U16)</f>
        <v>0.99999999999999989</v>
      </c>
    </row>
    <row r="17" spans="1:23" ht="27" customHeight="1" x14ac:dyDescent="0.35">
      <c r="A17" s="1196"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47">
        <f>SUM(B17:U17)</f>
        <v>0.94000000000000006</v>
      </c>
      <c r="W17" t="s">
        <v>760</v>
      </c>
    </row>
    <row r="19" spans="1:23" x14ac:dyDescent="0.35">
      <c r="B19" s="847" t="e">
        <f>'Federal and State Purchases'!#REF!</f>
        <v>#REF!</v>
      </c>
      <c r="C19" s="847" t="e">
        <f>'Federal and State Purchases'!#REF!</f>
        <v>#REF!</v>
      </c>
    </row>
  </sheetData>
  <pageMargins left="0.7" right="0.7" top="0.75" bottom="0.75" header="0.3" footer="0.3"/>
  <pageSetup paperSize="9" orientation="portrait" horizontalDpi="300" verticalDpi="3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topLeftCell="B1" zoomScale="99" zoomScaleNormal="80" workbookViewId="0">
      <selection activeCell="K32" sqref="K32"/>
    </sheetView>
  </sheetViews>
  <sheetFormatPr defaultColWidth="10.90625" defaultRowHeight="14.5" x14ac:dyDescent="0.35"/>
  <cols>
    <col min="1" max="1" width="15.453125" customWidth="1"/>
    <col min="2" max="2" width="32.453125" customWidth="1"/>
  </cols>
  <sheetData>
    <row r="1" spans="1:23" x14ac:dyDescent="0.35">
      <c r="A1" s="755" t="s">
        <v>761</v>
      </c>
      <c r="B1" s="755" t="s">
        <v>671</v>
      </c>
      <c r="C1" s="1200">
        <v>2021</v>
      </c>
      <c r="D1" s="1200">
        <f>C1</f>
        <v>2021</v>
      </c>
      <c r="E1" s="1200">
        <f>D1</f>
        <v>2021</v>
      </c>
      <c r="F1" s="1200">
        <v>2022</v>
      </c>
      <c r="G1" s="1200">
        <v>2022</v>
      </c>
      <c r="H1" s="1200">
        <v>2022</v>
      </c>
      <c r="I1" s="1200">
        <v>2022</v>
      </c>
      <c r="J1" s="1200">
        <v>2023</v>
      </c>
      <c r="K1" s="1200">
        <v>2023</v>
      </c>
      <c r="L1" s="1200">
        <v>2023</v>
      </c>
      <c r="M1" s="1200">
        <v>2023</v>
      </c>
      <c r="N1" s="1200">
        <v>2024</v>
      </c>
      <c r="O1" s="1200">
        <v>2024</v>
      </c>
      <c r="P1" s="1200">
        <v>2024</v>
      </c>
      <c r="Q1" s="1200">
        <v>2024</v>
      </c>
      <c r="R1" s="1200">
        <v>2025</v>
      </c>
      <c r="S1" s="1200">
        <v>2025</v>
      </c>
      <c r="T1" s="1200">
        <v>2025</v>
      </c>
      <c r="U1" s="1200">
        <v>2025</v>
      </c>
      <c r="V1" s="1200">
        <v>2026</v>
      </c>
    </row>
    <row r="2" spans="1:23" x14ac:dyDescent="0.35">
      <c r="B2" s="755" t="s">
        <v>762</v>
      </c>
      <c r="C2" s="210" t="s">
        <v>249</v>
      </c>
      <c r="D2" s="210" t="s">
        <v>250</v>
      </c>
      <c r="E2" s="210" t="s">
        <v>180</v>
      </c>
      <c r="F2" s="210" t="s">
        <v>181</v>
      </c>
      <c r="G2" s="210" t="s">
        <v>182</v>
      </c>
      <c r="H2" s="210" t="s">
        <v>183</v>
      </c>
      <c r="I2" s="210" t="s">
        <v>184</v>
      </c>
      <c r="J2" s="210" t="s">
        <v>185</v>
      </c>
      <c r="K2" s="210" t="s">
        <v>186</v>
      </c>
      <c r="L2" s="210" t="s">
        <v>187</v>
      </c>
      <c r="M2" s="210" t="s">
        <v>188</v>
      </c>
      <c r="N2" s="210" t="s">
        <v>189</v>
      </c>
      <c r="O2" s="210" t="s">
        <v>190</v>
      </c>
      <c r="P2" s="210" t="s">
        <v>191</v>
      </c>
      <c r="Q2" s="210" t="s">
        <v>175</v>
      </c>
      <c r="R2" s="210" t="s">
        <v>176</v>
      </c>
      <c r="S2" s="210" t="s">
        <v>177</v>
      </c>
      <c r="T2" s="210" t="s">
        <v>763</v>
      </c>
      <c r="U2" s="210" t="s">
        <v>764</v>
      </c>
      <c r="V2" s="210" t="s">
        <v>765</v>
      </c>
    </row>
    <row r="3" spans="1:23" x14ac:dyDescent="0.35">
      <c r="A3" s="755">
        <v>3</v>
      </c>
      <c r="B3" s="755" t="s">
        <v>526</v>
      </c>
      <c r="C3" s="1201">
        <f>4*'ARP Timing'!B6*VLOOKUP(C$1,'ARP Score'!$A$5:$M14,$A3)</f>
        <v>0</v>
      </c>
      <c r="D3" s="1201">
        <f>4*'ARP Timing'!C6*VLOOKUP(D$1,'ARP Score'!$A$5:$M14,$A3)</f>
        <v>336.60399999999998</v>
      </c>
      <c r="E3" s="1201">
        <f>4*'ARP Timing'!D6*VLOOKUP(E$1,'ARP Score'!$A$5:$M14,$A3)</f>
        <v>446.19599999999991</v>
      </c>
      <c r="F3" s="1201">
        <f>4*'ARP Timing'!E6*VLOOKUP(F$1,'ARP Score'!$A$5:$M14,$A3)</f>
        <v>10.1</v>
      </c>
      <c r="G3" s="1201">
        <f>4*'ARP Timing'!F6*VLOOKUP(G$1,'ARP Score'!$A$5:$M14,$A3)</f>
        <v>10.1</v>
      </c>
      <c r="H3" s="1201">
        <f>4*'ARP Timing'!G6*VLOOKUP(H$1,'ARP Score'!$A$5:$M14,$A3)</f>
        <v>10.1</v>
      </c>
      <c r="I3" s="1201">
        <f>4*'ARP Timing'!H6*VLOOKUP(I$1,'ARP Score'!$A$5:$M14,$A3)</f>
        <v>10.1</v>
      </c>
      <c r="J3" s="1201">
        <f>4*'ARP Timing'!I6*VLOOKUP(J$1,'ARP Score'!$A$5:$M14,$A3)</f>
        <v>0</v>
      </c>
      <c r="K3" s="1201">
        <f>4*'ARP Timing'!J6*VLOOKUP(K$1,'ARP Score'!$A$5:$M14,$A3)</f>
        <v>0</v>
      </c>
      <c r="L3" s="1201">
        <f>4*'ARP Timing'!K6*VLOOKUP(L$1,'ARP Score'!$A$5:$M14,$A3)</f>
        <v>0</v>
      </c>
      <c r="M3" s="1201">
        <f>4*'ARP Timing'!L6*VLOOKUP(M$1,'ARP Score'!$A$5:$M14,$A3)</f>
        <v>0</v>
      </c>
      <c r="N3" s="1201">
        <f>4*'ARP Timing'!M6*VLOOKUP(N$1,'ARP Score'!$A$5:$M14,$A3)</f>
        <v>0</v>
      </c>
      <c r="O3" s="1201">
        <f>4*'ARP Timing'!N6*VLOOKUP(O$1,'ARP Score'!$A$5:$M14,$A3)</f>
        <v>0</v>
      </c>
      <c r="P3" s="1201">
        <f>4*'ARP Timing'!O6*VLOOKUP(P$1,'ARP Score'!$A$5:$M14,$A3)</f>
        <v>0</v>
      </c>
      <c r="Q3" s="1201">
        <f>4*'ARP Timing'!P6*VLOOKUP(Q$1,'ARP Score'!$A$5:$M14,$A3)</f>
        <v>0</v>
      </c>
      <c r="R3" s="1201">
        <f>4*'ARP Timing'!Q6*VLOOKUP(R$1,'ARP Score'!$A$5:$M14,$A3)</f>
        <v>0</v>
      </c>
      <c r="S3" s="1201">
        <f>4*'ARP Timing'!R6*VLOOKUP(S$1,'ARP Score'!$A$5:$M14,$A3)</f>
        <v>0</v>
      </c>
      <c r="T3" s="1201">
        <f>4*'ARP Timing'!S6*VLOOKUP(T$1,'ARP Score'!$A$5:$M14,$A3)</f>
        <v>0</v>
      </c>
      <c r="U3" s="1201">
        <f>4*'ARP Timing'!T6*VLOOKUP(U$1,'ARP Score'!$A$5:$M14,$A3)</f>
        <v>0</v>
      </c>
      <c r="V3" s="1201">
        <f>4*'ARP Timing'!U6*VLOOKUP(V$1,'ARP Score'!$A$5:$M14,$A3)</f>
        <v>0</v>
      </c>
      <c r="W3" s="1201">
        <f>SUM(C3:U3)/4</f>
        <v>205.8</v>
      </c>
    </row>
    <row r="4" spans="1:23" x14ac:dyDescent="0.35">
      <c r="A4" s="755">
        <v>5</v>
      </c>
      <c r="B4" s="33" t="s">
        <v>673</v>
      </c>
      <c r="C4" s="1201">
        <f>4*'ARP Timing'!B7*VLOOKUP(C$1,'ARP Score'!$A$5:$M15,$A4)</f>
        <v>0</v>
      </c>
      <c r="D4" s="1201">
        <f>4*'ARP Timing'!C7*VLOOKUP(D$1,'ARP Score'!$A$5:$M15,$A4)</f>
        <v>0</v>
      </c>
      <c r="E4" s="1201">
        <f>4*'ARP Timing'!D7*VLOOKUP(E$1,'ARP Score'!$A$5:$M15,$A4)</f>
        <v>3.1040000000000418</v>
      </c>
      <c r="F4" s="1201">
        <f>4*'ARP Timing'!E7*VLOOKUP(F$1,'ARP Score'!$A$5:$M15,$A4)</f>
        <v>19.719000000000005</v>
      </c>
      <c r="G4" s="1201">
        <f>4*'ARP Timing'!F7*VLOOKUP(G$1,'ARP Score'!$A$5:$M15,$A4)</f>
        <v>19.719000000000005</v>
      </c>
      <c r="H4" s="1201">
        <f>4*'ARP Timing'!G7*VLOOKUP(H$1,'ARP Score'!$A$5:$M15,$A4)</f>
        <v>19.719000000000005</v>
      </c>
      <c r="I4" s="1201">
        <f>4*'ARP Timing'!H7*VLOOKUP(I$1,'ARP Score'!$A$5:$M15,$A4)</f>
        <v>19.719000000000005</v>
      </c>
      <c r="J4" s="1201">
        <f>4*'ARP Timing'!I7*VLOOKUP(J$1,'ARP Score'!$A$5:$M15,$A4)</f>
        <v>1.4159999999999999</v>
      </c>
      <c r="K4" s="1201">
        <f>4*'ARP Timing'!J7*VLOOKUP(K$1,'ARP Score'!$A$5:$M15,$A4)</f>
        <v>1.4159999999999999</v>
      </c>
      <c r="L4" s="1201">
        <f>4*'ARP Timing'!K7*VLOOKUP(L$1,'ARP Score'!$A$5:$M15,$A4)</f>
        <v>1.4159999999999999</v>
      </c>
      <c r="M4" s="1201">
        <f>4*'ARP Timing'!L7*VLOOKUP(M$1,'ARP Score'!$A$5:$M15,$A4)</f>
        <v>1.4159999999999999</v>
      </c>
      <c r="N4" s="1201">
        <f>4*'ARP Timing'!M7*VLOOKUP(N$1,'ARP Score'!$A$5:$M15,$A4)</f>
        <v>1.4790000000000001</v>
      </c>
      <c r="O4" s="1201">
        <f>4*'ARP Timing'!N7*VLOOKUP(O$1,'ARP Score'!$A$5:$M15,$A4)</f>
        <v>1.4790000000000001</v>
      </c>
      <c r="P4" s="1201">
        <f>4*'ARP Timing'!O7*VLOOKUP(P$1,'ARP Score'!$A$5:$M15,$A4)</f>
        <v>1.4790000000000001</v>
      </c>
      <c r="Q4" s="1201">
        <f>4*'ARP Timing'!P7*VLOOKUP(Q$1,'ARP Score'!$A$5:$M15,$A4)</f>
        <v>1.4790000000000001</v>
      </c>
      <c r="R4" s="1201">
        <f>4*'ARP Timing'!Q7*VLOOKUP(R$1,'ARP Score'!$A$5:$M15,$A4)</f>
        <v>1.63</v>
      </c>
      <c r="S4" s="1201">
        <f>4*'ARP Timing'!R7*VLOOKUP(S$1,'ARP Score'!$A$5:$M15,$A4)</f>
        <v>1.63</v>
      </c>
      <c r="T4" s="1201">
        <f>4*'ARP Timing'!S7*VLOOKUP(T$1,'ARP Score'!$A$5:$M15,$A4)</f>
        <v>1.63</v>
      </c>
      <c r="U4" s="1201">
        <f>4*'ARP Timing'!T7*VLOOKUP(U$1,'ARP Score'!$A$5:$M15,$A4)</f>
        <v>1.63</v>
      </c>
      <c r="V4" s="1201">
        <f>4*'ARP Timing'!U7*VLOOKUP(V$1,'ARP Score'!$A$5:$M15,$A4)</f>
        <v>1.671</v>
      </c>
      <c r="W4" s="1201">
        <f>SUM(C4:U4)/4</f>
        <v>25.020000000000007</v>
      </c>
    </row>
    <row r="5" spans="1:23" x14ac:dyDescent="0.35">
      <c r="A5" s="755">
        <v>6</v>
      </c>
      <c r="B5" s="33" t="s">
        <v>674</v>
      </c>
      <c r="C5" s="1201">
        <f>4*'ARP Timing'!B8*VLOOKUP(C$1,'ARP Score'!$A$5:$M16,$A5)</f>
        <v>0</v>
      </c>
      <c r="D5" s="1201">
        <f>4*'ARP Timing'!C8*VLOOKUP(D$1,'ARP Score'!$A$5:$M16,$A5)</f>
        <v>33.921840000000024</v>
      </c>
      <c r="E5" s="1201">
        <f>4*'ARP Timing'!D8*VLOOKUP(E$1,'ARP Score'!$A$5:$M16,$A5)</f>
        <v>44.966160000000031</v>
      </c>
      <c r="F5" s="1201">
        <f>4*'ARP Timing'!E8*VLOOKUP(F$1,'ARP Score'!$A$5:$M16,$A5)</f>
        <v>52.756999999999998</v>
      </c>
      <c r="G5" s="1201">
        <f>4*'ARP Timing'!F8*VLOOKUP(G$1,'ARP Score'!$A$5:$M16,$A5)</f>
        <v>52.756999999999998</v>
      </c>
      <c r="H5" s="1201">
        <f>4*'ARP Timing'!G8*VLOOKUP(H$1,'ARP Score'!$A$5:$M16,$A5)</f>
        <v>52.756999999999998</v>
      </c>
      <c r="I5" s="1201">
        <f>4*'ARP Timing'!H8*VLOOKUP(I$1,'ARP Score'!$A$5:$M16,$A5)</f>
        <v>52.756999999999998</v>
      </c>
      <c r="J5" s="1201">
        <f>4*'ARP Timing'!I8*VLOOKUP(J$1,'ARP Score'!$A$5:$M16,$A5)</f>
        <v>12</v>
      </c>
      <c r="K5" s="1201">
        <f>4*'ARP Timing'!J8*VLOOKUP(K$1,'ARP Score'!$A$5:$M16,$A5)</f>
        <v>12</v>
      </c>
      <c r="L5" s="1201">
        <f>4*'ARP Timing'!K8*VLOOKUP(L$1,'ARP Score'!$A$5:$M16,$A5)</f>
        <v>12</v>
      </c>
      <c r="M5" s="1201">
        <f>4*'ARP Timing'!L8*VLOOKUP(M$1,'ARP Score'!$A$5:$M16,$A5)</f>
        <v>12</v>
      </c>
      <c r="N5" s="1201">
        <f>4*'ARP Timing'!M8*VLOOKUP(N$1,'ARP Score'!$A$5:$M16,$A5)</f>
        <v>4.2219999999999995</v>
      </c>
      <c r="O5" s="1201">
        <f>4*'ARP Timing'!N8*VLOOKUP(O$1,'ARP Score'!$A$5:$M16,$A5)</f>
        <v>4.2219999999999995</v>
      </c>
      <c r="P5" s="1201">
        <f>4*'ARP Timing'!O8*VLOOKUP(P$1,'ARP Score'!$A$5:$M16,$A5)</f>
        <v>4.2219999999999995</v>
      </c>
      <c r="Q5" s="1201">
        <f>4*'ARP Timing'!P8*VLOOKUP(Q$1,'ARP Score'!$A$5:$M16,$A5)</f>
        <v>4.2219999999999995</v>
      </c>
      <c r="R5" s="1201">
        <f>4*'ARP Timing'!Q8*VLOOKUP(R$1,'ARP Score'!$A$5:$M16,$A5)</f>
        <v>2.3719999999999999</v>
      </c>
      <c r="S5" s="1201">
        <f>4*'ARP Timing'!R8*VLOOKUP(S$1,'ARP Score'!$A$5:$M16,$A5)</f>
        <v>2.3719999999999999</v>
      </c>
      <c r="T5" s="1201">
        <f>4*'ARP Timing'!S8*VLOOKUP(T$1,'ARP Score'!$A$5:$M16,$A5)</f>
        <v>2.3719999999999999</v>
      </c>
      <c r="U5" s="1201">
        <f>4*'ARP Timing'!T8*VLOOKUP(U$1,'ARP Score'!$A$5:$M16,$A5)</f>
        <v>2.3719999999999999</v>
      </c>
      <c r="V5" s="1201">
        <f>4*'ARP Timing'!U8*VLOOKUP(V$1,'ARP Score'!$A$5:$M16,$A5)</f>
        <v>0.49</v>
      </c>
      <c r="W5" s="1201">
        <f t="shared" ref="W5:W15" si="0">SUM(C5:U5)/4</f>
        <v>91.073000000000008</v>
      </c>
    </row>
    <row r="6" spans="1:23" x14ac:dyDescent="0.35">
      <c r="A6" s="755">
        <v>7</v>
      </c>
      <c r="B6" s="33" t="s">
        <v>766</v>
      </c>
      <c r="C6" s="1201">
        <f>4*'ARP Timing'!B9*VLOOKUP(C$1,'ARP Score'!$A$5:$M17,$A6)</f>
        <v>0</v>
      </c>
      <c r="D6" s="1201">
        <f>4*'ARP Timing'!C9*VLOOKUP(D$1,'ARP Score'!$A$5:$M17,$A6)</f>
        <v>58.782959999999989</v>
      </c>
      <c r="E6" s="1201">
        <f>4*'ARP Timing'!D9*VLOOKUP(E$1,'ARP Score'!$A$5:$M17,$A6)</f>
        <v>267.78904</v>
      </c>
      <c r="F6" s="1201">
        <f>4*'ARP Timing'!E9*VLOOKUP(F$1,'ARP Score'!$A$5:$M17,$A6)</f>
        <v>110.24799999999999</v>
      </c>
      <c r="G6" s="1201">
        <f>4*'ARP Timing'!F9*VLOOKUP(G$1,'ARP Score'!$A$5:$M17,$A6)</f>
        <v>110.24799999999999</v>
      </c>
      <c r="H6" s="1201">
        <f>4*'ARP Timing'!G9*VLOOKUP(H$1,'ARP Score'!$A$5:$M17,$A6)</f>
        <v>110.24799999999999</v>
      </c>
      <c r="I6" s="1201">
        <f>4*'ARP Timing'!H9*VLOOKUP(I$1,'ARP Score'!$A$5:$M17,$A6)</f>
        <v>110.24799999999999</v>
      </c>
      <c r="J6" s="1201">
        <f>4*'ARP Timing'!I9*VLOOKUP(J$1,'ARP Score'!$A$5:$M17,$A6)</f>
        <v>12.726000000000001</v>
      </c>
      <c r="K6" s="1201">
        <f>4*'ARP Timing'!J9*VLOOKUP(K$1,'ARP Score'!$A$5:$M17,$A6)</f>
        <v>12.726000000000001</v>
      </c>
      <c r="L6" s="1201">
        <f>4*'ARP Timing'!K9*VLOOKUP(L$1,'ARP Score'!$A$5:$M17,$A6)</f>
        <v>12.726000000000001</v>
      </c>
      <c r="M6" s="1201">
        <f>4*'ARP Timing'!L9*VLOOKUP(M$1,'ARP Score'!$A$5:$M17,$A6)</f>
        <v>12.726000000000001</v>
      </c>
      <c r="N6" s="1201">
        <f>4*'ARP Timing'!M9*VLOOKUP(N$1,'ARP Score'!$A$5:$M17,$A6)</f>
        <v>1.365</v>
      </c>
      <c r="O6" s="1201">
        <f>4*'ARP Timing'!N9*VLOOKUP(O$1,'ARP Score'!$A$5:$M17,$A6)</f>
        <v>1.365</v>
      </c>
      <c r="P6" s="1201">
        <f>4*'ARP Timing'!O9*VLOOKUP(P$1,'ARP Score'!$A$5:$M17,$A6)</f>
        <v>1.365</v>
      </c>
      <c r="Q6" s="1201">
        <f>4*'ARP Timing'!P9*VLOOKUP(Q$1,'ARP Score'!$A$5:$M17,$A6)</f>
        <v>1.365</v>
      </c>
      <c r="R6" s="1201">
        <f>4*'ARP Timing'!Q9*VLOOKUP(R$1,'ARP Score'!$A$5:$M17,$A6)</f>
        <v>-0.90100000000000025</v>
      </c>
      <c r="S6" s="1201">
        <f>4*'ARP Timing'!R9*VLOOKUP(S$1,'ARP Score'!$A$5:$M17,$A6)</f>
        <v>-0.90100000000000025</v>
      </c>
      <c r="T6" s="1201">
        <f>4*'ARP Timing'!S9*VLOOKUP(T$1,'ARP Score'!$A$5:$M17,$A6)</f>
        <v>-0.90100000000000025</v>
      </c>
      <c r="U6" s="1201">
        <f>4*'ARP Timing'!T9*VLOOKUP(U$1,'ARP Score'!$A$5:$M17,$A6)</f>
        <v>-0.90100000000000025</v>
      </c>
      <c r="V6" s="1201">
        <f>4*'ARP Timing'!U9*VLOOKUP(V$1,'ARP Score'!$A$5:$M17,$A6)</f>
        <v>-2.1500000000000004</v>
      </c>
      <c r="W6" s="1201">
        <f t="shared" si="0"/>
        <v>205.08100000000007</v>
      </c>
    </row>
    <row r="7" spans="1:23" x14ac:dyDescent="0.35">
      <c r="A7" s="755">
        <v>8</v>
      </c>
      <c r="B7" s="33" t="s">
        <v>131</v>
      </c>
      <c r="C7" s="1201">
        <f>4*'ARP Timing'!B10*VLOOKUP(C$1,'ARP Score'!$A$5:$M18,$A7)</f>
        <v>0</v>
      </c>
      <c r="D7" s="1201">
        <f>4*'ARP Timing'!C10*VLOOKUP(D$1,'ARP Score'!$A$5:$M18,$A7)</f>
        <v>15.596</v>
      </c>
      <c r="E7" s="1201">
        <f>4*'ARP Timing'!D10*VLOOKUP(E$1,'ARP Score'!$A$5:$M18,$A7)</f>
        <v>15.596</v>
      </c>
      <c r="F7" s="1201">
        <f>4*'ARP Timing'!E10*VLOOKUP(F$1,'ARP Score'!$A$5:$M18,$A7)</f>
        <v>7.9489999999999998</v>
      </c>
      <c r="G7" s="1201">
        <f>4*'ARP Timing'!F10*VLOOKUP(G$1,'ARP Score'!$A$5:$M18,$A7)</f>
        <v>7.9489999999999998</v>
      </c>
      <c r="H7" s="1201">
        <f>4*'ARP Timing'!G10*VLOOKUP(H$1,'ARP Score'!$A$5:$M18,$A7)</f>
        <v>7.9489999999999998</v>
      </c>
      <c r="I7" s="1201">
        <f>4*'ARP Timing'!H10*VLOOKUP(I$1,'ARP Score'!$A$5:$M18,$A7)</f>
        <v>7.9489999999999998</v>
      </c>
      <c r="J7" s="1201">
        <f>4*'ARP Timing'!I10*VLOOKUP(J$1,'ARP Score'!$A$5:$M18,$A7)</f>
        <v>4.7519999999999998</v>
      </c>
      <c r="K7" s="1201">
        <f>4*'ARP Timing'!J10*VLOOKUP(K$1,'ARP Score'!$A$5:$M18,$A7)</f>
        <v>4.7519999999999998</v>
      </c>
      <c r="L7" s="1201">
        <f>4*'ARP Timing'!K10*VLOOKUP(L$1,'ARP Score'!$A$5:$M18,$A7)</f>
        <v>4.7519999999999998</v>
      </c>
      <c r="M7" s="1201">
        <f>4*'ARP Timing'!L10*VLOOKUP(M$1,'ARP Score'!$A$5:$M18,$A7)</f>
        <v>4.7519999999999998</v>
      </c>
      <c r="N7" s="1201">
        <f>4*'ARP Timing'!M10*VLOOKUP(N$1,'ARP Score'!$A$5:$M18,$A7)</f>
        <v>4.637999999999999</v>
      </c>
      <c r="O7" s="1201">
        <f>4*'ARP Timing'!N10*VLOOKUP(O$1,'ARP Score'!$A$5:$M18,$A7)</f>
        <v>4.637999999999999</v>
      </c>
      <c r="P7" s="1201">
        <f>4*'ARP Timing'!O10*VLOOKUP(P$1,'ARP Score'!$A$5:$M18,$A7)</f>
        <v>4.637999999999999</v>
      </c>
      <c r="Q7" s="1201">
        <f>4*'ARP Timing'!P10*VLOOKUP(Q$1,'ARP Score'!$A$5:$M18,$A7)</f>
        <v>4.637999999999999</v>
      </c>
      <c r="R7" s="1201">
        <f>4*'ARP Timing'!Q10*VLOOKUP(R$1,'ARP Score'!$A$5:$M18,$A7)</f>
        <v>1.8800000000000001</v>
      </c>
      <c r="S7" s="1201">
        <f>4*'ARP Timing'!R10*VLOOKUP(S$1,'ARP Score'!$A$5:$M18,$A7)</f>
        <v>1.8800000000000001</v>
      </c>
      <c r="T7" s="1201">
        <f>4*'ARP Timing'!S10*VLOOKUP(T$1,'ARP Score'!$A$5:$M18,$A7)</f>
        <v>1.8800000000000001</v>
      </c>
      <c r="U7" s="1201">
        <f>4*'ARP Timing'!T10*VLOOKUP(U$1,'ARP Score'!$A$5:$M18,$A7)</f>
        <v>1.8800000000000001</v>
      </c>
      <c r="V7" s="1201">
        <f>4*'ARP Timing'!U10*VLOOKUP(V$1,'ARP Score'!$A$5:$M18,$A7)</f>
        <v>1.446</v>
      </c>
      <c r="W7" s="1201">
        <f t="shared" si="0"/>
        <v>27.016999999999996</v>
      </c>
    </row>
    <row r="8" spans="1:23" x14ac:dyDescent="0.35">
      <c r="A8" s="755">
        <v>9</v>
      </c>
      <c r="B8" s="1202" t="s">
        <v>347</v>
      </c>
      <c r="C8" s="1201">
        <f>4*'ARP Timing'!B$11*VLOOKUP(C$1,'ARP Score'!$A$5:$M19,$A8)</f>
        <v>0</v>
      </c>
      <c r="D8" s="1201">
        <f>0.6*SUM('ARP Score'!B5:B7)*4</f>
        <v>989.16719999999987</v>
      </c>
      <c r="E8" s="1200">
        <v>0</v>
      </c>
      <c r="F8" s="1201">
        <v>0</v>
      </c>
      <c r="G8" s="1201">
        <v>0</v>
      </c>
      <c r="H8" s="1201">
        <f>D8*0.4/0.6</f>
        <v>659.44479999999999</v>
      </c>
      <c r="I8" s="1201">
        <v>0</v>
      </c>
      <c r="J8" s="755">
        <v>0</v>
      </c>
      <c r="K8" s="1201">
        <v>0</v>
      </c>
      <c r="L8" s="1201">
        <v>0</v>
      </c>
      <c r="M8" s="1201">
        <v>0</v>
      </c>
      <c r="N8" s="1201">
        <v>0</v>
      </c>
      <c r="O8" s="1201">
        <v>0</v>
      </c>
      <c r="P8" s="1201">
        <v>0</v>
      </c>
      <c r="Q8" s="1201">
        <v>0</v>
      </c>
      <c r="R8" s="1201">
        <v>0</v>
      </c>
      <c r="S8" s="1201">
        <v>0</v>
      </c>
      <c r="T8" s="1201">
        <v>0</v>
      </c>
      <c r="U8" s="1201">
        <v>0</v>
      </c>
      <c r="V8" s="1201">
        <v>0</v>
      </c>
      <c r="W8" s="1201">
        <f t="shared" si="0"/>
        <v>412.15299999999996</v>
      </c>
    </row>
    <row r="9" spans="1:23" x14ac:dyDescent="0.35">
      <c r="A9" s="755">
        <v>10</v>
      </c>
      <c r="B9" s="1202" t="s">
        <v>150</v>
      </c>
      <c r="C9" s="1201">
        <f>4*'ARP Timing'!B$11*VLOOKUP(C$1,'ARP Score'!$A$5:$M20,$A9)</f>
        <v>0</v>
      </c>
      <c r="D9" s="1201">
        <f>4*'ARP Timing'!C$11*VLOOKUP(D$1,'ARP Score'!$A$5:$M20,$A9)</f>
        <v>24.693999999999999</v>
      </c>
      <c r="E9" s="1201">
        <f>4*'ARP Timing'!D$11*VLOOKUP(E$1,'ARP Score'!$A$5:$M20,$A9)</f>
        <v>24.693999999999999</v>
      </c>
      <c r="F9" s="1201">
        <f>4*'ARP Timing'!E$11*VLOOKUP(F$1,'ARP Score'!$A$5:$M20,$A9)</f>
        <v>46.79</v>
      </c>
      <c r="G9" s="1201">
        <f>4*'ARP Timing'!F$11*VLOOKUP(G$1,'ARP Score'!$A$5:$M20,$A9)</f>
        <v>46.79</v>
      </c>
      <c r="H9" s="1201">
        <f>4*'ARP Timing'!G$11*VLOOKUP(H$1,'ARP Score'!$A$5:$M20,$A9)</f>
        <v>46.79</v>
      </c>
      <c r="I9" s="1201">
        <f>4*'ARP Timing'!H$11*VLOOKUP(I$1,'ARP Score'!$A$5:$M20,$A9)</f>
        <v>46.79</v>
      </c>
      <c r="J9" s="1201">
        <f>4*'ARP Timing'!I$11*VLOOKUP(J$1,'ARP Score'!$A$5:$M20,$A9)</f>
        <v>38.595999999999997</v>
      </c>
      <c r="K9" s="1201">
        <f>4*'ARP Timing'!J$11*VLOOKUP(K$1,'ARP Score'!$A$5:$M20,$A9)</f>
        <v>38.595999999999997</v>
      </c>
      <c r="L9" s="1201">
        <f>4*'ARP Timing'!K$11*VLOOKUP(L$1,'ARP Score'!$A$5:$M20,$A9)</f>
        <v>38.595999999999997</v>
      </c>
      <c r="M9" s="1201">
        <f>4*'ARP Timing'!L$11*VLOOKUP(M$1,'ARP Score'!$A$5:$M20,$A9)</f>
        <v>38.595999999999997</v>
      </c>
      <c r="N9" s="1201">
        <f>4*'ARP Timing'!M$11*VLOOKUP(N$1,'ARP Score'!$A$5:$M20,$A9)</f>
        <v>31.911000000000001</v>
      </c>
      <c r="O9" s="1201">
        <f>4*'ARP Timing'!N$11*VLOOKUP(O$1,'ARP Score'!$A$5:$M20,$A9)</f>
        <v>31.911000000000001</v>
      </c>
      <c r="P9" s="1201">
        <f>4*'ARP Timing'!O$11*VLOOKUP(P$1,'ARP Score'!$A$5:$M20,$A9)</f>
        <v>31.911000000000001</v>
      </c>
      <c r="Q9" s="1201">
        <f>4*'ARP Timing'!P$11*VLOOKUP(Q$1,'ARP Score'!$A$5:$M20,$A9)</f>
        <v>31.911000000000001</v>
      </c>
      <c r="R9" s="1201">
        <f>4*'ARP Timing'!Q$11*VLOOKUP(R$1,'ARP Score'!$A$5:$M20,$A9)</f>
        <v>23.099</v>
      </c>
      <c r="S9" s="1201">
        <f>4*'ARP Timing'!R$11*VLOOKUP(S$1,'ARP Score'!$A$5:$M20,$A9)</f>
        <v>23.099</v>
      </c>
      <c r="T9" s="1201">
        <f>4*'ARP Timing'!S$11*VLOOKUP(T$1,'ARP Score'!$A$5:$M20,$A9)</f>
        <v>23.099</v>
      </c>
      <c r="U9" s="1201">
        <f>4*'ARP Timing'!T$11*VLOOKUP(U$1,'ARP Score'!$A$5:$M20,$A9)</f>
        <v>23.099</v>
      </c>
      <c r="V9" s="1201">
        <f>4*'ARP Timing'!U$11*VLOOKUP(V$1,'ARP Score'!$A$5:$M20,$A9)</f>
        <v>10.766999999999999</v>
      </c>
      <c r="W9" s="1201">
        <f t="shared" si="0"/>
        <v>152.74300000000005</v>
      </c>
    </row>
    <row r="10" spans="1:23" x14ac:dyDescent="0.35">
      <c r="A10" s="1206">
        <v>11</v>
      </c>
      <c r="B10" s="1202" t="s">
        <v>363</v>
      </c>
      <c r="C10" s="1201">
        <f>4*'ARP Timing'!B$11*VLOOKUP(C$1,'ARP Score'!$A$5:$M22,$A10)</f>
        <v>0</v>
      </c>
      <c r="D10" s="1201">
        <f>4*'ARP Timing'!C$11*VLOOKUP(D$1,'ARP Score'!$A$5:$M22,$A10)</f>
        <v>59.256</v>
      </c>
      <c r="E10" s="1201">
        <f>4*'ARP Timing'!D$11*VLOOKUP(E$1,'ARP Score'!$A$5:$M22,$A10)</f>
        <v>59.256</v>
      </c>
      <c r="F10" s="1201">
        <f>4*'ARP Timing'!E$11*VLOOKUP(F$1,'ARP Score'!$A$5:$M22,$A10)</f>
        <v>35.671000000000006</v>
      </c>
      <c r="G10" s="1201">
        <f>4*'ARP Timing'!F$11*VLOOKUP(G$1,'ARP Score'!$A$5:$M22,$A10)</f>
        <v>35.671000000000006</v>
      </c>
      <c r="H10" s="1201">
        <f>4*'ARP Timing'!G$11*VLOOKUP(H$1,'ARP Score'!$A$5:$M22,$A10)</f>
        <v>35.671000000000006</v>
      </c>
      <c r="I10" s="1201">
        <f>4*'ARP Timing'!H$11*VLOOKUP(I$1,'ARP Score'!$A$5:$M22,$A10)</f>
        <v>35.671000000000006</v>
      </c>
      <c r="J10" s="1201">
        <f>4*'ARP Timing'!I$11*VLOOKUP(J$1,'ARP Score'!$A$5:$M22,$A10)</f>
        <v>24.216000000000001</v>
      </c>
      <c r="K10" s="1201">
        <f>4*'ARP Timing'!J$11*VLOOKUP(K$1,'ARP Score'!$A$5:$M22,$A10)</f>
        <v>24.216000000000001</v>
      </c>
      <c r="L10" s="1201">
        <f>4*'ARP Timing'!K$11*VLOOKUP(L$1,'ARP Score'!$A$5:$M22,$A10)</f>
        <v>24.216000000000001</v>
      </c>
      <c r="M10" s="1201">
        <f>4*'ARP Timing'!L$11*VLOOKUP(M$1,'ARP Score'!$A$5:$M22,$A10)</f>
        <v>24.216000000000001</v>
      </c>
      <c r="N10" s="1201">
        <f>4*'ARP Timing'!M$11*VLOOKUP(N$1,'ARP Score'!$A$5:$M22,$A10)</f>
        <v>9.6430000000000007</v>
      </c>
      <c r="O10" s="1201">
        <f>4*'ARP Timing'!N$11*VLOOKUP(O$1,'ARP Score'!$A$5:$M22,$A10)</f>
        <v>9.6430000000000007</v>
      </c>
      <c r="P10" s="1201">
        <f>4*'ARP Timing'!O$11*VLOOKUP(P$1,'ARP Score'!$A$5:$M22,$A10)</f>
        <v>9.6430000000000007</v>
      </c>
      <c r="Q10" s="1201">
        <f>4*'ARP Timing'!P$11*VLOOKUP(Q$1,'ARP Score'!$A$5:$M22,$A10)</f>
        <v>9.6430000000000007</v>
      </c>
      <c r="R10" s="1201">
        <f>4*'ARP Timing'!Q$11*VLOOKUP(R$1,'ARP Score'!$A$5:$M22,$A10)</f>
        <v>4.5789999999999997</v>
      </c>
      <c r="S10" s="1201">
        <f>4*'ARP Timing'!R$11*VLOOKUP(S$1,'ARP Score'!$A$5:$M22,$A10)</f>
        <v>4.5789999999999997</v>
      </c>
      <c r="T10" s="1201">
        <f>4*'ARP Timing'!S$11*VLOOKUP(T$1,'ARP Score'!$A$5:$M22,$A10)</f>
        <v>4.5789999999999997</v>
      </c>
      <c r="U10" s="1201">
        <f>4*'ARP Timing'!T$11*VLOOKUP(U$1,'ARP Score'!$A$5:$M22,$A10)</f>
        <v>4.5789999999999997</v>
      </c>
      <c r="V10" s="1201">
        <f>4*'ARP Timing'!U$11*VLOOKUP(V$1,'ARP Score'!$A$5:$M22,$A10)</f>
        <v>2.9130000000000003</v>
      </c>
      <c r="W10" s="1201">
        <f t="shared" si="0"/>
        <v>103.73700000000002</v>
      </c>
    </row>
    <row r="11" spans="1:23" x14ac:dyDescent="0.35">
      <c r="A11" s="755">
        <v>12</v>
      </c>
      <c r="B11" s="14" t="s">
        <v>159</v>
      </c>
      <c r="C11" s="1201">
        <f>4*'ARP Timing'!B12*VLOOKUP(C$1,'ARP Score'!$A$5:$M20,$A11)</f>
        <v>103</v>
      </c>
      <c r="D11" s="1201">
        <f>4*'ARP Timing'!C12*VLOOKUP(D$1,'ARP Score'!$A$5:$M20,$A11)</f>
        <v>0</v>
      </c>
      <c r="E11" s="1201">
        <f>4*'ARP Timing'!D12*VLOOKUP(E$1,'ARP Score'!$A$5:$M20,$A11)</f>
        <v>0</v>
      </c>
      <c r="F11" s="1201">
        <f>4*'ARP Timing'!E12*VLOOKUP(F$1,'ARP Score'!$A$5:$M20,$A11)</f>
        <v>0</v>
      </c>
      <c r="G11" s="1201">
        <f>4*'ARP Timing'!F12*VLOOKUP(G$1,'ARP Score'!$A$5:$M20,$A11)</f>
        <v>0</v>
      </c>
      <c r="H11" s="1201">
        <f>4*'ARP Timing'!G12*VLOOKUP(H$1,'ARP Score'!$A$5:$M20,$A11)</f>
        <v>0</v>
      </c>
      <c r="I11" s="1201">
        <f>4*'ARP Timing'!H12*VLOOKUP(I$1,'ARP Score'!$A$5:$M20,$A11)</f>
        <v>0</v>
      </c>
      <c r="J11" s="1201">
        <f>4*'ARP Timing'!I12*VLOOKUP(J$1,'ARP Score'!$A$5:$M20,$A11)</f>
        <v>0</v>
      </c>
      <c r="K11" s="1201">
        <f>4*'ARP Timing'!J12*VLOOKUP(K$1,'ARP Score'!$A$5:$M20,$A11)</f>
        <v>0</v>
      </c>
      <c r="L11" s="1201">
        <f>4*'ARP Timing'!K12*VLOOKUP(L$1,'ARP Score'!$A$5:$M20,$A11)</f>
        <v>0</v>
      </c>
      <c r="M11" s="1201">
        <f>4*'ARP Timing'!L12*VLOOKUP(M$1,'ARP Score'!$A$5:$M20,$A11)</f>
        <v>0</v>
      </c>
      <c r="N11" s="1201">
        <f>4*'ARP Timing'!M12*VLOOKUP(N$1,'ARP Score'!$A$5:$M20,$A11)</f>
        <v>0</v>
      </c>
      <c r="O11" s="1201">
        <f>4*'ARP Timing'!N12*VLOOKUP(O$1,'ARP Score'!$A$5:$M20,$A11)</f>
        <v>0</v>
      </c>
      <c r="P11" s="1201">
        <f>4*'ARP Timing'!O12*VLOOKUP(P$1,'ARP Score'!$A$5:$M20,$A11)</f>
        <v>0</v>
      </c>
      <c r="Q11" s="1201">
        <f>4*'ARP Timing'!P12*VLOOKUP(Q$1,'ARP Score'!$A$5:$M20,$A11)</f>
        <v>0</v>
      </c>
      <c r="R11" s="1201">
        <f>4*'ARP Timing'!Q12*VLOOKUP(R$1,'ARP Score'!$A$5:$M20,$A11)</f>
        <v>0</v>
      </c>
      <c r="S11" s="1201">
        <f>4*'ARP Timing'!R12*VLOOKUP(S$1,'ARP Score'!$A$5:$M20,$A11)</f>
        <v>0</v>
      </c>
      <c r="T11" s="1201">
        <f>4*'ARP Timing'!S12*VLOOKUP(T$1,'ARP Score'!$A$5:$M20,$A11)</f>
        <v>0</v>
      </c>
      <c r="U11" s="1201">
        <f>4*'ARP Timing'!T12*VLOOKUP(U$1,'ARP Score'!$A$5:$M20,$A11)</f>
        <v>0</v>
      </c>
      <c r="V11" s="1201">
        <f>4*'ARP Timing'!U12*VLOOKUP(V$1,'ARP Score'!$A$5:$M20,$A11)</f>
        <v>0</v>
      </c>
      <c r="W11" s="1201">
        <f t="shared" si="0"/>
        <v>25.75</v>
      </c>
    </row>
    <row r="12" spans="1:23" x14ac:dyDescent="0.35">
      <c r="A12" s="755">
        <v>13</v>
      </c>
      <c r="B12" s="33" t="s">
        <v>109</v>
      </c>
      <c r="C12" s="1201">
        <f>4*'ARP Timing'!B13*VLOOKUP(C$1,'ARP Score'!$A$5:$M21,$A12)</f>
        <v>0</v>
      </c>
      <c r="D12" s="1201">
        <f>4*'ARP Timing'!C13*VLOOKUP(D$1,'ARP Score'!$A$5:$M21,$A12)</f>
        <v>51.102400000000003</v>
      </c>
      <c r="E12" s="1201">
        <f>4*'ARP Timing'!D13*VLOOKUP(E$1,'ARP Score'!$A$5:$M21,$A12)</f>
        <v>76.653599999999997</v>
      </c>
      <c r="F12" s="1201">
        <f>4*'ARP Timing'!E13*VLOOKUP(F$1,'ARP Score'!$A$5:$M21,$A12)</f>
        <v>90.260800000000003</v>
      </c>
      <c r="G12" s="1201">
        <f>4*'ARP Timing'!F13*VLOOKUP(G$1,'ARP Score'!$A$5:$M21,$A12)</f>
        <v>67.695599999999999</v>
      </c>
      <c r="H12" s="1201">
        <f>4*'ARP Timing'!G13*VLOOKUP(H$1,'ARP Score'!$A$5:$M21,$A12)</f>
        <v>45.130400000000002</v>
      </c>
      <c r="I12" s="1201">
        <f>4*'ARP Timing'!H13*VLOOKUP(I$1,'ARP Score'!$A$5:$M21,$A12)</f>
        <v>22.565200000000001</v>
      </c>
      <c r="J12" s="1201">
        <f>4*'ARP Timing'!I13*VLOOKUP(J$1,'ARP Score'!$A$5:$M21,$A12)</f>
        <v>15.652999999999999</v>
      </c>
      <c r="K12" s="1201">
        <f>4*'ARP Timing'!J13*VLOOKUP(K$1,'ARP Score'!$A$5:$M21,$A12)</f>
        <v>15.652999999999999</v>
      </c>
      <c r="L12" s="1201">
        <f>4*'ARP Timing'!K13*VLOOKUP(L$1,'ARP Score'!$A$5:$M21,$A12)</f>
        <v>15.652999999999999</v>
      </c>
      <c r="M12" s="1201">
        <f>4*'ARP Timing'!L13*VLOOKUP(M$1,'ARP Score'!$A$5:$M21,$A12)</f>
        <v>15.652999999999999</v>
      </c>
      <c r="N12" s="1201">
        <f>4*'ARP Timing'!M13*VLOOKUP(N$1,'ARP Score'!$A$5:$M21,$A12)</f>
        <v>3.9320000000000004</v>
      </c>
      <c r="O12" s="1201">
        <f>4*'ARP Timing'!N13*VLOOKUP(O$1,'ARP Score'!$A$5:$M21,$A12)</f>
        <v>3.9320000000000004</v>
      </c>
      <c r="P12" s="1201">
        <f>4*'ARP Timing'!O13*VLOOKUP(P$1,'ARP Score'!$A$5:$M21,$A12)</f>
        <v>3.9320000000000004</v>
      </c>
      <c r="Q12" s="1201">
        <f>4*'ARP Timing'!P13*VLOOKUP(Q$1,'ARP Score'!$A$5:$M21,$A12)</f>
        <v>3.9320000000000004</v>
      </c>
      <c r="R12" s="1201">
        <f>4*'ARP Timing'!Q13*VLOOKUP(R$1,'ARP Score'!$A$5:$M21,$A12)</f>
        <v>-0.74299999999999988</v>
      </c>
      <c r="S12" s="1201">
        <f>4*'ARP Timing'!R13*VLOOKUP(S$1,'ARP Score'!$A$5:$M21,$A12)</f>
        <v>-0.74299999999999988</v>
      </c>
      <c r="T12" s="1201">
        <f>4*'ARP Timing'!S13*VLOOKUP(T$1,'ARP Score'!$A$5:$M21,$A12)</f>
        <v>-0.74299999999999988</v>
      </c>
      <c r="U12" s="1201">
        <f>4*'ARP Timing'!T13*VLOOKUP(U$1,'ARP Score'!$A$5:$M21,$A12)</f>
        <v>-0.74299999999999988</v>
      </c>
      <c r="V12" s="1201">
        <f>4*'ARP Timing'!U13*VLOOKUP(V$1,'ARP Score'!$A$5:$M21,$A12)</f>
        <v>-21.606000000000002</v>
      </c>
      <c r="W12" s="1201">
        <f t="shared" si="0"/>
        <v>107.19400000000005</v>
      </c>
    </row>
    <row r="13" spans="1:23" x14ac:dyDescent="0.35">
      <c r="A13" s="755">
        <v>15</v>
      </c>
      <c r="B13" s="755" t="s">
        <v>767</v>
      </c>
      <c r="C13" s="1201">
        <f>0.3*'ARP Score'!$N5*4*'ARP Timing'!B6</f>
        <v>0</v>
      </c>
      <c r="D13" s="1201">
        <f>0.3*'ARP Score'!$N5*4*'ARP Timing'!C6</f>
        <v>1.7544</v>
      </c>
      <c r="E13" s="1201">
        <f>0.3*'ARP Score'!$N5*4*'ARP Timing'!D6</f>
        <v>2.3255999999999997</v>
      </c>
      <c r="F13" s="1201">
        <f>0.3*'ARP Score'!$N6*4*'ARP Timing'!E6</f>
        <v>1.5299999999999998</v>
      </c>
      <c r="G13" s="1201">
        <f>0.3*'ARP Score'!$N6*4*'ARP Timing'!F6</f>
        <v>1.5299999999999998</v>
      </c>
      <c r="H13" s="1201">
        <f>0.3*'ARP Score'!$N6*4*'ARP Timing'!G6</f>
        <v>1.5299999999999998</v>
      </c>
      <c r="I13" s="1201">
        <f>0.3*'ARP Score'!$N6*4*'ARP Timing'!H6</f>
        <v>1.5299999999999998</v>
      </c>
      <c r="J13" s="1201">
        <f>0.3*'ARP Score'!$N7*4*'ARP Timing'!I6</f>
        <v>0</v>
      </c>
      <c r="K13" s="1201">
        <f>0.3*'ARP Score'!$N7*4*'ARP Timing'!J6</f>
        <v>0</v>
      </c>
      <c r="L13" s="1201">
        <f>0.3*'ARP Score'!$N7*4*'ARP Timing'!K6</f>
        <v>0</v>
      </c>
      <c r="M13" s="1201">
        <f>0.3*'ARP Score'!$N7*4*'ARP Timing'!L6</f>
        <v>0</v>
      </c>
      <c r="N13" s="1201">
        <f>0.3*'ARP Score'!$N7*4*'ARP Timing'!M6</f>
        <v>0</v>
      </c>
      <c r="O13" s="1201">
        <f>0.3*'ARP Score'!$N7*4*'ARP Timing'!N6</f>
        <v>0</v>
      </c>
      <c r="P13" s="1201">
        <f>0.3*'ARP Score'!$N7*4*'ARP Timing'!O6</f>
        <v>0</v>
      </c>
      <c r="Q13" s="1201">
        <f>0.3*'ARP Score'!$N7*4*'ARP Timing'!P6</f>
        <v>0</v>
      </c>
      <c r="R13" s="1201">
        <f>0.3*'ARP Score'!$N7*4*'ARP Timing'!Q6</f>
        <v>0</v>
      </c>
      <c r="S13" s="1201">
        <f>0.3*'ARP Score'!$N7*4*'ARP Timing'!R6</f>
        <v>0</v>
      </c>
      <c r="T13" s="1201">
        <f>0.3*'ARP Score'!$N7*4*'ARP Timing'!S6</f>
        <v>0</v>
      </c>
      <c r="U13" s="1201">
        <f>0.3*'ARP Score'!$N7*4*'ARP Timing'!T6</f>
        <v>0</v>
      </c>
      <c r="V13" s="1201">
        <f>0.3*'ARP Score'!$N7*4*'ARP Timing'!U6</f>
        <v>0</v>
      </c>
      <c r="W13" s="1201">
        <f t="shared" si="0"/>
        <v>2.5499999999999994</v>
      </c>
    </row>
    <row r="14" spans="1:23" x14ac:dyDescent="0.35">
      <c r="A14" s="755">
        <v>14</v>
      </c>
      <c r="B14" s="755" t="s">
        <v>768</v>
      </c>
      <c r="C14" s="1201">
        <f>C13/0.3*0.2</f>
        <v>0</v>
      </c>
      <c r="D14" s="1201">
        <f t="shared" ref="D14:F14" si="1">D13/0.3*0.2</f>
        <v>1.1696</v>
      </c>
      <c r="E14" s="1201">
        <f t="shared" si="1"/>
        <v>1.5503999999999998</v>
      </c>
      <c r="F14" s="1201">
        <f t="shared" si="1"/>
        <v>1.02</v>
      </c>
      <c r="G14" s="1201">
        <f t="shared" ref="G14" si="2">G13/0.3*0.2</f>
        <v>1.02</v>
      </c>
      <c r="H14" s="1201">
        <f t="shared" ref="H14" si="3">H13/0.3*0.2</f>
        <v>1.02</v>
      </c>
      <c r="I14" s="1201">
        <f t="shared" ref="I14" si="4">I13/0.3*0.2</f>
        <v>1.02</v>
      </c>
      <c r="J14" s="1201">
        <f t="shared" ref="J14" si="5">J13/0.3*0.2</f>
        <v>0</v>
      </c>
      <c r="K14" s="1201">
        <f t="shared" ref="K14" si="6">K13/0.3*0.2</f>
        <v>0</v>
      </c>
      <c r="L14" s="1201">
        <f t="shared" ref="L14" si="7">L13/0.3*0.2</f>
        <v>0</v>
      </c>
      <c r="M14" s="1201">
        <f t="shared" ref="M14" si="8">M13/0.3*0.2</f>
        <v>0</v>
      </c>
      <c r="N14" s="1201">
        <f t="shared" ref="N14" si="9">N13/0.3*0.2</f>
        <v>0</v>
      </c>
      <c r="O14" s="1201">
        <f t="shared" ref="O14" si="10">O13/0.3*0.2</f>
        <v>0</v>
      </c>
      <c r="P14" s="1201">
        <f t="shared" ref="P14" si="11">P13/0.3*0.2</f>
        <v>0</v>
      </c>
      <c r="Q14" s="1201">
        <f t="shared" ref="Q14" si="12">Q13/0.3*0.2</f>
        <v>0</v>
      </c>
      <c r="R14" s="1201">
        <f t="shared" ref="R14" si="13">R13/0.3*0.2</f>
        <v>0</v>
      </c>
      <c r="S14" s="1201">
        <f t="shared" ref="S14" si="14">S13/0.3*0.2</f>
        <v>0</v>
      </c>
      <c r="T14" s="1201">
        <f t="shared" ref="T14" si="15">T13/0.3*0.2</f>
        <v>0</v>
      </c>
      <c r="U14" s="1201">
        <f t="shared" ref="U14" si="16">U13/0.3*0.2</f>
        <v>0</v>
      </c>
      <c r="V14" s="1201">
        <f t="shared" ref="V14" si="17">V13/0.3*0.2</f>
        <v>0</v>
      </c>
      <c r="W14" s="1201">
        <f t="shared" si="0"/>
        <v>1.6999999999999997</v>
      </c>
    </row>
    <row r="15" spans="1:23" x14ac:dyDescent="0.35">
      <c r="A15" s="755">
        <v>14</v>
      </c>
      <c r="B15" s="755" t="s">
        <v>469</v>
      </c>
      <c r="C15" s="1201">
        <f>C14/0.2*0.5</f>
        <v>0</v>
      </c>
      <c r="D15" s="1201">
        <f t="shared" ref="D15:F15" si="18">D14/0.2*0.5</f>
        <v>2.9239999999999999</v>
      </c>
      <c r="E15" s="1201">
        <f t="shared" si="18"/>
        <v>3.8759999999999994</v>
      </c>
      <c r="F15" s="1201">
        <f t="shared" si="18"/>
        <v>2.5499999999999998</v>
      </c>
      <c r="G15" s="1201">
        <f t="shared" ref="G15" si="19">G14/0.2*0.5</f>
        <v>2.5499999999999998</v>
      </c>
      <c r="H15" s="1201">
        <f t="shared" ref="H15" si="20">H14/0.2*0.5</f>
        <v>2.5499999999999998</v>
      </c>
      <c r="I15" s="1201">
        <f t="shared" ref="I15" si="21">I14/0.2*0.5</f>
        <v>2.5499999999999998</v>
      </c>
      <c r="J15" s="1201">
        <f t="shared" ref="J15" si="22">J14/0.2*0.5</f>
        <v>0</v>
      </c>
      <c r="K15" s="1201">
        <f t="shared" ref="K15" si="23">K14/0.2*0.5</f>
        <v>0</v>
      </c>
      <c r="L15" s="1201">
        <f t="shared" ref="L15" si="24">L14/0.2*0.5</f>
        <v>0</v>
      </c>
      <c r="M15" s="1201">
        <f t="shared" ref="M15" si="25">M14/0.2*0.5</f>
        <v>0</v>
      </c>
      <c r="N15" s="1201">
        <f t="shared" ref="N15" si="26">N14/0.2*0.5</f>
        <v>0</v>
      </c>
      <c r="O15" s="1201">
        <f t="shared" ref="O15" si="27">O14/0.2*0.5</f>
        <v>0</v>
      </c>
      <c r="P15" s="1201">
        <f t="shared" ref="P15" si="28">P14/0.2*0.5</f>
        <v>0</v>
      </c>
      <c r="Q15" s="1201">
        <f t="shared" ref="Q15" si="29">Q14/0.2*0.5</f>
        <v>0</v>
      </c>
      <c r="R15" s="1201">
        <f t="shared" ref="R15" si="30">R14/0.2*0.5</f>
        <v>0</v>
      </c>
      <c r="S15" s="1201">
        <f t="shared" ref="S15" si="31">S14/0.2*0.5</f>
        <v>0</v>
      </c>
      <c r="T15" s="1201">
        <f t="shared" ref="T15" si="32">T14/0.2*0.5</f>
        <v>0</v>
      </c>
      <c r="U15" s="1201">
        <f t="shared" ref="U15" si="33">U14/0.2*0.5</f>
        <v>0</v>
      </c>
      <c r="V15" s="1201">
        <f t="shared" ref="V15" si="34">V14/0.2*0.5</f>
        <v>0</v>
      </c>
      <c r="W15" s="1201">
        <f t="shared" si="0"/>
        <v>4.25</v>
      </c>
    </row>
    <row r="16" spans="1:23" x14ac:dyDescent="0.35">
      <c r="C16" s="1201"/>
      <c r="D16" s="1201"/>
      <c r="E16" s="1201"/>
      <c r="F16" s="1201"/>
      <c r="G16" s="1201"/>
      <c r="H16" s="1201"/>
      <c r="I16" s="1201"/>
      <c r="J16" s="1201"/>
      <c r="K16" s="1201"/>
      <c r="L16" s="1201"/>
      <c r="M16" s="1201"/>
      <c r="N16" s="1201"/>
      <c r="O16" s="1201"/>
      <c r="P16" s="1201"/>
      <c r="Q16" s="1201"/>
      <c r="R16" s="1201"/>
      <c r="S16" s="1201"/>
      <c r="T16" s="1201"/>
      <c r="U16" s="1201"/>
      <c r="V16" s="1201"/>
      <c r="W16" s="1201"/>
    </row>
    <row r="17" spans="1:23" x14ac:dyDescent="0.35">
      <c r="A17" s="755" t="s">
        <v>769</v>
      </c>
      <c r="C17" s="1201"/>
      <c r="D17" s="1201"/>
      <c r="E17" s="1201"/>
      <c r="F17" s="1201"/>
      <c r="G17" s="1201"/>
      <c r="H17" s="1201"/>
      <c r="I17" s="1201"/>
      <c r="J17" s="1201"/>
      <c r="K17" s="1201"/>
      <c r="L17" s="1201"/>
      <c r="M17" s="1201"/>
      <c r="N17" s="1201"/>
      <c r="O17" s="1201"/>
      <c r="P17" s="1201"/>
      <c r="Q17" s="1201"/>
      <c r="R17" s="1201"/>
      <c r="S17" s="1201"/>
      <c r="T17" s="1201"/>
      <c r="U17" s="1201"/>
      <c r="V17" s="1201"/>
      <c r="W17" s="1201"/>
    </row>
    <row r="18" spans="1:23" x14ac:dyDescent="0.35">
      <c r="B18" s="529" t="s">
        <v>143</v>
      </c>
      <c r="C18" s="1201">
        <f>'ARP Score'!$BG5/'ARP Score'!$G5*C6</f>
        <v>0</v>
      </c>
      <c r="D18" s="1201">
        <f>'ARP Score'!$BG5/'ARP Score'!$G5*D6</f>
        <v>2.2132800000000001</v>
      </c>
      <c r="E18" s="1201">
        <f>'ARP Score'!$BG5/'ARP Score'!$G5*E6</f>
        <v>10.082720000000002</v>
      </c>
      <c r="F18" s="1201">
        <f>'ARP Score'!$BG6/'ARP Score'!$G6*F6</f>
        <v>7.1439999999999992</v>
      </c>
      <c r="G18" s="1201">
        <f>'ARP Score'!$BG6/'ARP Score'!$G6*G6</f>
        <v>7.1439999999999992</v>
      </c>
      <c r="H18" s="1201">
        <f>'ARP Score'!$BG6/'ARP Score'!$G6*H6</f>
        <v>7.1439999999999992</v>
      </c>
      <c r="I18" s="1201">
        <f>'ARP Score'!$BG6/'ARP Score'!$G6*I6</f>
        <v>7.1439999999999992</v>
      </c>
      <c r="J18" s="1201">
        <f>'ARP Score'!$BG7/'ARP Score'!$G7*J6</f>
        <v>0</v>
      </c>
      <c r="K18" s="1201">
        <f>'ARP Score'!$BG7/'ARP Score'!$G7*K6</f>
        <v>0</v>
      </c>
      <c r="L18" s="1201">
        <f>'ARP Score'!$BG7/'ARP Score'!$G7*L6</f>
        <v>0</v>
      </c>
      <c r="M18" s="1201">
        <f>'ARP Score'!$BG7/'ARP Score'!$G7*M6</f>
        <v>0</v>
      </c>
      <c r="N18" s="1201"/>
      <c r="O18" s="1201"/>
      <c r="P18" s="1201"/>
      <c r="Q18" s="1201"/>
      <c r="R18" s="1201"/>
      <c r="S18" s="1201"/>
      <c r="T18" s="1201"/>
      <c r="U18" s="1201"/>
      <c r="V18" s="1201"/>
      <c r="W18" s="1201"/>
    </row>
    <row r="19" spans="1:23" x14ac:dyDescent="0.35">
      <c r="B19" s="529" t="s">
        <v>770</v>
      </c>
      <c r="C19" s="1201">
        <f>'ARP Score'!$BI5/'ARP Score'!$G5*C6</f>
        <v>0</v>
      </c>
      <c r="D19" s="1201">
        <f>'ARP Score'!$BI5/'ARP Score'!$G5*D6</f>
        <v>15.128640000000001</v>
      </c>
      <c r="E19" s="1201">
        <f>'ARP Score'!$BI5/'ARP Score'!$G5*E6</f>
        <v>68.919360000000012</v>
      </c>
      <c r="F19" s="1201">
        <f>'ARP Score'!$BI6/'ARP Score'!$G6*F6</f>
        <v>5.6120000000000001</v>
      </c>
      <c r="G19" s="1201">
        <f>'ARP Score'!$BI6/'ARP Score'!$G6*G6</f>
        <v>5.6120000000000001</v>
      </c>
      <c r="H19" s="1201">
        <f>'ARP Score'!$BI6/'ARP Score'!$G6*H6</f>
        <v>5.6120000000000001</v>
      </c>
      <c r="I19" s="1201">
        <f>'ARP Score'!$BI6/'ARP Score'!$G6*I6</f>
        <v>5.6120000000000001</v>
      </c>
      <c r="J19" s="1201">
        <f>'ARP Score'!$B7/'ARP Score'!$G7*J6</f>
        <v>0.48599999999999993</v>
      </c>
      <c r="K19" s="1201">
        <f>'ARP Score'!$B7/'ARP Score'!$G7*K6</f>
        <v>0.48599999999999993</v>
      </c>
      <c r="L19" s="1201">
        <f>'ARP Score'!$B7/'ARP Score'!$G7*L6</f>
        <v>0.48599999999999993</v>
      </c>
      <c r="M19" s="1201">
        <f>'ARP Score'!$B7/'ARP Score'!$G7*M6</f>
        <v>0.48599999999999993</v>
      </c>
      <c r="N19" s="1201">
        <f>'ARP Score'!$B8/'ARP Score'!$G8*N6</f>
        <v>0</v>
      </c>
      <c r="O19" s="1201"/>
      <c r="P19" s="1201"/>
      <c r="Q19" s="1201"/>
      <c r="R19" s="1201"/>
      <c r="S19" s="1201"/>
      <c r="T19" s="1201"/>
      <c r="U19" s="1201"/>
      <c r="V19" s="1201"/>
      <c r="W19" s="1201"/>
    </row>
    <row r="20" spans="1:23" x14ac:dyDescent="0.35">
      <c r="B20" s="529" t="s">
        <v>148</v>
      </c>
      <c r="C20" s="1201">
        <f>'ARP Score'!$BF5/'ARP Score'!$G5*C6</f>
        <v>0</v>
      </c>
      <c r="D20" s="1201">
        <f>'ARP Score'!$BF5/'ARP Score'!$G5*D6</f>
        <v>3.2479199999999997</v>
      </c>
      <c r="E20" s="1201">
        <f>'ARP Score'!$BF5/'ARP Score'!$G5*E6</f>
        <v>14.796080000000002</v>
      </c>
      <c r="F20" s="1201">
        <f>'ARP Score'!$BF6/'ARP Score'!$G6*F6</f>
        <v>1.7329999999999999</v>
      </c>
      <c r="G20" s="1201">
        <f>'ARP Score'!$BF6/'ARP Score'!$G6*G6</f>
        <v>1.7329999999999999</v>
      </c>
      <c r="H20" s="1201">
        <f>'ARP Score'!$BF6/'ARP Score'!$G6*H6</f>
        <v>1.7329999999999999</v>
      </c>
      <c r="I20" s="1201">
        <f>'ARP Score'!$BF6/'ARP Score'!$G6*I6</f>
        <v>1.7329999999999999</v>
      </c>
      <c r="J20" s="1201">
        <f>'ARP Score'!$BF7/'ARP Score'!$G7*J6</f>
        <v>0</v>
      </c>
      <c r="K20" s="1201">
        <f>'ARP Score'!$BF7/'ARP Score'!$G7*K6</f>
        <v>0</v>
      </c>
      <c r="L20" s="1201">
        <f>'ARP Score'!$BF7/'ARP Score'!$G7*L6</f>
        <v>0</v>
      </c>
      <c r="M20" s="1201">
        <f>'ARP Score'!$BF7/'ARP Score'!$G7*M6</f>
        <v>0</v>
      </c>
      <c r="N20" s="1201"/>
      <c r="O20" s="1201"/>
      <c r="P20" s="1201"/>
      <c r="Q20" s="1201"/>
      <c r="R20" s="1201"/>
      <c r="S20" s="1201"/>
      <c r="T20" s="1201"/>
      <c r="U20" s="1201"/>
      <c r="V20" s="1201"/>
      <c r="W20" s="1201"/>
    </row>
    <row r="21" spans="1:23" x14ac:dyDescent="0.35">
      <c r="B21" s="1207" t="s">
        <v>412</v>
      </c>
      <c r="C21" s="1201">
        <f>15/40*(C6*'ARP Score'!$BD5/'ARP Score'!$G5)</f>
        <v>0</v>
      </c>
      <c r="D21" s="1201">
        <f>15/40*(D6*('ARP Score'!$BD5+'ARP Score'!$BE5)/'ARP Score'!$G5)</f>
        <v>13.2921</v>
      </c>
      <c r="E21" s="1201">
        <f>15/40*(E6*('ARP Score'!$BD5+'ARP Score'!$BE5)/'ARP Score'!$G5)</f>
        <v>60.552900000000008</v>
      </c>
      <c r="F21" s="1201">
        <f>15/40*(F6*('ARP Score'!$BD6+'ARP Score'!$BE6)/'ARP Score'!$G6)</f>
        <v>1.0687500000000001</v>
      </c>
      <c r="G21" s="1201">
        <f>15/40*(G6*('ARP Score'!$BD6+'ARP Score'!$BE6)/'ARP Score'!$G6)</f>
        <v>1.0687500000000001</v>
      </c>
      <c r="H21" s="1201">
        <f>15/40*(H6*('ARP Score'!$BD6+'ARP Score'!$BE6)/'ARP Score'!$G6)</f>
        <v>1.0687500000000001</v>
      </c>
      <c r="I21" s="1201">
        <f>15/40*(I6*('ARP Score'!$BD6+'ARP Score'!$BE6)/'ARP Score'!$G6)</f>
        <v>1.0687500000000001</v>
      </c>
      <c r="J21" s="1201">
        <f>15/40*(J6*('ARP Score'!$BD7+'ARP Score'!$BE7)/'ARP Score'!$G7)</f>
        <v>0.78750000000000009</v>
      </c>
      <c r="K21" s="1201">
        <f>15/40*(K6*('ARP Score'!$BD7+'ARP Score'!$BE7)/'ARP Score'!$G7)</f>
        <v>0.78750000000000009</v>
      </c>
      <c r="L21" s="1201">
        <f>15/40*(L6*('ARP Score'!$BD7+'ARP Score'!$BE7)/'ARP Score'!$G7)</f>
        <v>0.78750000000000009</v>
      </c>
      <c r="M21" s="1201">
        <f>15/40*(M6*('ARP Score'!$BD7+'ARP Score'!$BE7)/'ARP Score'!$G7)</f>
        <v>0.78750000000000009</v>
      </c>
      <c r="N21" s="1201"/>
      <c r="O21" s="1201"/>
      <c r="P21" s="1201"/>
      <c r="Q21" s="1201"/>
      <c r="R21" s="1201"/>
      <c r="S21" s="1201"/>
      <c r="T21" s="1201"/>
      <c r="U21" s="1201"/>
      <c r="V21" s="1201"/>
      <c r="W21" s="1201"/>
    </row>
    <row r="22" spans="1:23" x14ac:dyDescent="0.35">
      <c r="B22" s="1207" t="s">
        <v>771</v>
      </c>
      <c r="C22" s="1201"/>
      <c r="D22" s="1201">
        <f>D21/15*25</f>
        <v>22.153499999999998</v>
      </c>
      <c r="E22" s="1201">
        <f>E21/15*25</f>
        <v>100.92150000000002</v>
      </c>
      <c r="F22" s="1201">
        <f>F21/15*25</f>
        <v>1.7812500000000002</v>
      </c>
      <c r="G22" s="1201">
        <f>G21/15*25</f>
        <v>1.7812500000000002</v>
      </c>
      <c r="H22" s="1201">
        <f t="shared" ref="H22:J22" si="35">H21/15*25</f>
        <v>1.7812500000000002</v>
      </c>
      <c r="I22" s="1201">
        <f t="shared" si="35"/>
        <v>1.7812500000000002</v>
      </c>
      <c r="J22" s="1201">
        <f t="shared" si="35"/>
        <v>1.3125000000000002</v>
      </c>
      <c r="K22" s="1201">
        <f t="shared" ref="K22" si="36">K21/15*25</f>
        <v>1.3125000000000002</v>
      </c>
      <c r="L22" s="1201">
        <f t="shared" ref="L22" si="37">L21/15*25</f>
        <v>1.3125000000000002</v>
      </c>
      <c r="M22" s="1201">
        <f t="shared" ref="M22" si="38">M21/15*25</f>
        <v>1.3125000000000002</v>
      </c>
      <c r="N22" s="1201"/>
      <c r="O22" s="1201"/>
      <c r="P22" s="1201"/>
      <c r="Q22" s="1201"/>
      <c r="R22" s="1201"/>
      <c r="S22" s="1201"/>
      <c r="T22" s="1201"/>
      <c r="U22" s="1201"/>
      <c r="V22" s="1201"/>
      <c r="W22" s="1201"/>
    </row>
    <row r="23" spans="1:23" x14ac:dyDescent="0.35">
      <c r="B23" s="529" t="s">
        <v>424</v>
      </c>
      <c r="C23" s="1201">
        <f>'ARP Score'!$BB5/'ARP Score'!$G5*C6</f>
        <v>0</v>
      </c>
      <c r="D23" s="1201">
        <f>'ARP Score'!$BB5/'ARP Score'!$G5*D6</f>
        <v>2.9519999999999995</v>
      </c>
      <c r="E23" s="1201">
        <f>'ARP Score'!$BB5/'ARP Score'!$G5*E6</f>
        <v>13.448</v>
      </c>
      <c r="F23" s="1201">
        <f>'ARP Score'!$BB6/'ARP Score'!$G6*F6</f>
        <v>11.3</v>
      </c>
      <c r="G23" s="1201">
        <f>'ARP Score'!$BB6/'ARP Score'!$G6*G6</f>
        <v>11.3</v>
      </c>
      <c r="H23" s="1201">
        <f>'ARP Score'!$BB6/'ARP Score'!$G6*H6</f>
        <v>11.3</v>
      </c>
      <c r="I23" s="1201">
        <f>'ARP Score'!$BB6/'ARP Score'!$G6*I6</f>
        <v>11.3</v>
      </c>
      <c r="J23" s="1201">
        <f>'ARP Score'!$BB7/'ARP Score'!$G7*J6</f>
        <v>8.4</v>
      </c>
      <c r="K23" s="1201">
        <f>'ARP Score'!$BB7/'ARP Score'!$G7*K6</f>
        <v>8.4</v>
      </c>
      <c r="L23" s="1201">
        <f>'ARP Score'!$BB7/'ARP Score'!$G7*L6</f>
        <v>8.4</v>
      </c>
      <c r="M23" s="1201">
        <f>'ARP Score'!$BB7/'ARP Score'!$G7*M6</f>
        <v>8.4</v>
      </c>
      <c r="N23" s="1201">
        <f>'ARP Score'!$BB8/'ARP Score'!$G8*N6</f>
        <v>0.2</v>
      </c>
      <c r="O23" s="1201">
        <f>'ARP Score'!$BB8/'ARP Score'!$G8*O6</f>
        <v>0.2</v>
      </c>
      <c r="P23" s="1201">
        <f>'ARP Score'!$BB8/'ARP Score'!$G8*P6</f>
        <v>0.2</v>
      </c>
      <c r="Q23" s="1201">
        <f>'ARP Score'!$BB8/'ARP Score'!$G8*Q6</f>
        <v>0.2</v>
      </c>
      <c r="R23" s="1201"/>
      <c r="S23" s="1201"/>
      <c r="T23" s="1201"/>
      <c r="U23" s="1201"/>
      <c r="V23" s="1201"/>
      <c r="W23" s="1201"/>
    </row>
    <row r="24" spans="1:23" x14ac:dyDescent="0.35">
      <c r="B24" s="529" t="s">
        <v>425</v>
      </c>
      <c r="C24" s="1201">
        <f>'ARP Score'!$BH5/'ARP Score'!$G5*C6</f>
        <v>0</v>
      </c>
      <c r="D24" s="1201">
        <f>'ARP Score'!$BH5/'ARP Score'!$G5*D6</f>
        <v>-0.20447999999999997</v>
      </c>
      <c r="E24" s="1201">
        <f>'ARP Score'!$BH5/'ARP Score'!$G5*E6</f>
        <v>-0.93152000000000001</v>
      </c>
      <c r="F24" s="1201">
        <f>'ARP Score'!$BH6/'ARP Score'!$G6*F6</f>
        <v>81.608999999999995</v>
      </c>
      <c r="G24" s="1201">
        <f>'ARP Score'!$BH6/'ARP Score'!$G6*G6</f>
        <v>81.608999999999995</v>
      </c>
      <c r="H24" s="1201">
        <f>'ARP Score'!$BH6/'ARP Score'!$G6*H6</f>
        <v>81.608999999999995</v>
      </c>
      <c r="I24" s="1201">
        <f>'ARP Score'!$BH6/'ARP Score'!$G6*I6</f>
        <v>81.608999999999995</v>
      </c>
      <c r="J24" s="1201">
        <f>'ARP Score'!$BH7/'ARP Score'!$G7*J6</f>
        <v>1.3759999999999999</v>
      </c>
      <c r="K24" s="1201">
        <f>'ARP Score'!$BH7/'ARP Score'!$G7*K6</f>
        <v>1.3759999999999999</v>
      </c>
      <c r="L24" s="1201">
        <f>'ARP Score'!$BH7/'ARP Score'!$G7*L6</f>
        <v>1.3759999999999999</v>
      </c>
      <c r="M24" s="1201">
        <f>'ARP Score'!$BH7/'ARP Score'!$G7*M6</f>
        <v>1.3759999999999999</v>
      </c>
      <c r="N24" s="1201">
        <f>'ARP Score'!$BH8/'ARP Score'!$G8*N6</f>
        <v>-0.87500000000000011</v>
      </c>
      <c r="O24" s="1201">
        <f>'ARP Score'!$BH8/'ARP Score'!$G8*O6</f>
        <v>-0.87500000000000011</v>
      </c>
      <c r="P24" s="1201">
        <f>'ARP Score'!$BH8/'ARP Score'!$G8*P6</f>
        <v>-0.87500000000000011</v>
      </c>
      <c r="Q24" s="1201">
        <f>'ARP Score'!$BH8/'ARP Score'!$G8*Q6</f>
        <v>-0.87500000000000011</v>
      </c>
      <c r="R24" s="1201"/>
      <c r="S24" s="1201"/>
      <c r="T24" s="1201"/>
      <c r="U24" s="1201"/>
      <c r="V24" s="1201"/>
      <c r="W24" s="1201"/>
    </row>
    <row r="25" spans="1:23" x14ac:dyDescent="0.35">
      <c r="B25" s="529" t="s">
        <v>311</v>
      </c>
      <c r="C25" s="1201">
        <f>SUM(C18:C24)</f>
        <v>0</v>
      </c>
      <c r="D25" s="1201">
        <f t="shared" ref="D25:Q25" si="39">SUM(D18:D24)</f>
        <v>58.782959999999996</v>
      </c>
      <c r="E25" s="1201">
        <f t="shared" si="39"/>
        <v>267.78904000000006</v>
      </c>
      <c r="F25" s="1201">
        <f t="shared" si="39"/>
        <v>110.24799999999999</v>
      </c>
      <c r="G25" s="1201">
        <f t="shared" si="39"/>
        <v>110.24799999999999</v>
      </c>
      <c r="H25" s="1201">
        <f t="shared" si="39"/>
        <v>110.24799999999999</v>
      </c>
      <c r="I25" s="1201">
        <f t="shared" si="39"/>
        <v>110.24799999999999</v>
      </c>
      <c r="J25" s="1201">
        <f t="shared" si="39"/>
        <v>12.362</v>
      </c>
      <c r="K25" s="1201">
        <f t="shared" si="39"/>
        <v>12.362</v>
      </c>
      <c r="L25" s="1201">
        <f t="shared" si="39"/>
        <v>12.362</v>
      </c>
      <c r="M25" s="1201">
        <f t="shared" si="39"/>
        <v>12.362</v>
      </c>
      <c r="N25" s="1201">
        <f t="shared" si="39"/>
        <v>-0.67500000000000004</v>
      </c>
      <c r="O25" s="1201">
        <f t="shared" si="39"/>
        <v>-0.67500000000000004</v>
      </c>
      <c r="P25" s="1201">
        <f t="shared" si="39"/>
        <v>-0.67500000000000004</v>
      </c>
      <c r="Q25" s="1201">
        <f t="shared" si="39"/>
        <v>-0.67500000000000004</v>
      </c>
      <c r="R25" s="1201"/>
      <c r="S25" s="1201"/>
      <c r="T25" s="1201"/>
      <c r="U25" s="1201"/>
      <c r="V25" s="1201"/>
      <c r="W25" s="1201"/>
    </row>
    <row r="26" spans="1:23" x14ac:dyDescent="0.35">
      <c r="D26" s="1199">
        <f>D6-D25</f>
        <v>0</v>
      </c>
      <c r="E26" s="1199">
        <f t="shared" ref="E26:M26" si="40">E6-E25</f>
        <v>0</v>
      </c>
      <c r="F26" s="1199">
        <f t="shared" si="40"/>
        <v>0</v>
      </c>
      <c r="G26" s="1199">
        <f t="shared" si="40"/>
        <v>0</v>
      </c>
      <c r="H26" s="1199">
        <f t="shared" si="40"/>
        <v>0</v>
      </c>
      <c r="I26" s="1199">
        <f t="shared" si="40"/>
        <v>0</v>
      </c>
      <c r="J26" s="1199">
        <f t="shared" si="40"/>
        <v>0.36400000000000077</v>
      </c>
      <c r="K26" s="1199">
        <f t="shared" si="40"/>
        <v>0.36400000000000077</v>
      </c>
      <c r="L26" s="1199">
        <f t="shared" si="40"/>
        <v>0.36400000000000077</v>
      </c>
      <c r="M26" s="1199">
        <f t="shared" si="40"/>
        <v>0.36400000000000077</v>
      </c>
    </row>
    <row r="27" spans="1:23" x14ac:dyDescent="0.35">
      <c r="B27" s="755" t="s">
        <v>772</v>
      </c>
      <c r="D27" s="210" t="s">
        <v>250</v>
      </c>
      <c r="E27" s="210" t="s">
        <v>180</v>
      </c>
      <c r="F27" s="210" t="s">
        <v>181</v>
      </c>
      <c r="G27" s="210" t="s">
        <v>182</v>
      </c>
      <c r="H27" s="210" t="s">
        <v>183</v>
      </c>
      <c r="I27" s="210" t="s">
        <v>184</v>
      </c>
      <c r="J27" s="210" t="s">
        <v>185</v>
      </c>
      <c r="K27" s="210" t="s">
        <v>186</v>
      </c>
      <c r="L27" s="210" t="s">
        <v>187</v>
      </c>
      <c r="M27" s="210" t="s">
        <v>188</v>
      </c>
      <c r="N27" s="210" t="s">
        <v>189</v>
      </c>
      <c r="O27" s="210" t="s">
        <v>190</v>
      </c>
      <c r="P27" s="210" t="s">
        <v>191</v>
      </c>
      <c r="Q27" s="210" t="s">
        <v>175</v>
      </c>
      <c r="R27" s="210" t="s">
        <v>176</v>
      </c>
      <c r="S27" s="210" t="s">
        <v>177</v>
      </c>
      <c r="T27" s="210" t="s">
        <v>763</v>
      </c>
      <c r="U27" s="210" t="s">
        <v>764</v>
      </c>
      <c r="V27" s="210" t="s">
        <v>765</v>
      </c>
    </row>
    <row r="28" spans="1:23" x14ac:dyDescent="0.35">
      <c r="B28" s="33"/>
      <c r="C28" s="1199" t="s">
        <v>311</v>
      </c>
      <c r="D28" s="1203">
        <f>SUM(D29:D43)</f>
        <v>5.8765000000000009</v>
      </c>
      <c r="E28" s="1203">
        <f t="shared" ref="E28:V28" si="41">SUM(E29:E43)</f>
        <v>11.753000000000002</v>
      </c>
      <c r="F28" s="1203">
        <f t="shared" si="41"/>
        <v>15.762320000000003</v>
      </c>
      <c r="G28" s="1203">
        <f t="shared" si="41"/>
        <v>19.771640000000005</v>
      </c>
      <c r="H28" s="1203">
        <f t="shared" si="41"/>
        <v>23.812229000000006</v>
      </c>
      <c r="I28" s="1203">
        <f t="shared" si="41"/>
        <v>27.852818000000006</v>
      </c>
      <c r="J28" s="1203">
        <f t="shared" si="41"/>
        <v>30.517977000000005</v>
      </c>
      <c r="K28" s="1203">
        <f t="shared" si="41"/>
        <v>33.183136000000005</v>
      </c>
      <c r="L28" s="1203">
        <f t="shared" si="41"/>
        <v>36.260924000000003</v>
      </c>
      <c r="M28" s="1203">
        <f t="shared" si="41"/>
        <v>39.338711999999994</v>
      </c>
      <c r="N28" s="1203">
        <f t="shared" si="41"/>
        <v>40.928439999999995</v>
      </c>
      <c r="O28" s="1203">
        <f t="shared" si="41"/>
        <v>42.518167999999996</v>
      </c>
      <c r="P28" s="1203">
        <f t="shared" si="41"/>
        <v>44.428388999999996</v>
      </c>
      <c r="Q28" s="1203">
        <f t="shared" si="41"/>
        <v>46.338610000000003</v>
      </c>
      <c r="R28" s="1203">
        <f t="shared" si="41"/>
        <v>47.279744500000007</v>
      </c>
      <c r="S28" s="1203">
        <f t="shared" si="41"/>
        <v>46.283419000000009</v>
      </c>
      <c r="T28" s="1203">
        <f t="shared" si="41"/>
        <v>45.578489500000011</v>
      </c>
      <c r="U28" s="1203">
        <f t="shared" si="41"/>
        <v>45.454798000000011</v>
      </c>
      <c r="V28" s="1203">
        <f t="shared" si="41"/>
        <v>45.360580000000013</v>
      </c>
    </row>
    <row r="29" spans="1:23" x14ac:dyDescent="0.35">
      <c r="A29" s="755">
        <v>2021</v>
      </c>
      <c r="B29" s="33" t="s">
        <v>773</v>
      </c>
      <c r="C29" s="1199"/>
      <c r="D29" s="755">
        <f>($D$9+$D$10)*'ARP Timing'!B$16</f>
        <v>5.8765000000000009</v>
      </c>
      <c r="E29" s="755">
        <f>($D$9+$D$10)*'ARP Timing'!C$16</f>
        <v>5.8765000000000009</v>
      </c>
      <c r="F29" s="755">
        <f>($D$9+$D$10)*'ARP Timing'!D$16</f>
        <v>4.11355</v>
      </c>
      <c r="G29" s="755">
        <f>($D$9+$D$10)*'ARP Timing'!E$16</f>
        <v>4.11355</v>
      </c>
      <c r="H29" s="755">
        <f>($D$9+$D$10)*'ARP Timing'!F$16</f>
        <v>4.11355</v>
      </c>
      <c r="I29" s="755">
        <f>($D$9+$D$10)*'ARP Timing'!G$16</f>
        <v>4.11355</v>
      </c>
      <c r="J29" s="755">
        <f>($D$9+$D$10)*'ARP Timing'!H$16</f>
        <v>4.11355</v>
      </c>
      <c r="K29" s="755">
        <f>($D$9+$D$10)*'ARP Timing'!I$16</f>
        <v>4.11355</v>
      </c>
      <c r="L29" s="755">
        <f>($D$9+$D$10)*'ARP Timing'!J$16</f>
        <v>4.11355</v>
      </c>
      <c r="M29" s="755">
        <f>($D$9+$D$10)*'ARP Timing'!K$16</f>
        <v>4.11355</v>
      </c>
      <c r="N29" s="755">
        <f>($D$9+$D$10)*'ARP Timing'!L$16</f>
        <v>4.11355</v>
      </c>
      <c r="O29" s="755">
        <f>($D$9+$D$10)*'ARP Timing'!M$16</f>
        <v>4.11355</v>
      </c>
      <c r="P29" s="755">
        <f>($D$9+$D$10)*'ARP Timing'!N$16</f>
        <v>3.987625</v>
      </c>
      <c r="Q29" s="755">
        <f>($D$9+$D$10)*'ARP Timing'!O$16</f>
        <v>3.987625</v>
      </c>
      <c r="R29" s="755">
        <f>($D$9+$D$10)*'ARP Timing'!P$16</f>
        <v>3.987625</v>
      </c>
      <c r="S29" s="755">
        <f>($D$9+$D$10)*'ARP Timing'!Q$16</f>
        <v>3.987625</v>
      </c>
      <c r="T29" s="755">
        <f>($D$9+$D$10)*'ARP Timing'!R$16</f>
        <v>3.987625</v>
      </c>
      <c r="U29" s="755">
        <f>($D$9+$D$10)*'ARP Timing'!S$16</f>
        <v>3.987625</v>
      </c>
      <c r="V29" s="755">
        <f>($D$9+$D$10)*'ARP Timing'!T$16</f>
        <v>3.987625</v>
      </c>
    </row>
    <row r="30" spans="1:23" x14ac:dyDescent="0.35">
      <c r="B30" s="33" t="s">
        <v>330</v>
      </c>
      <c r="C30" s="1199"/>
      <c r="E30" s="755">
        <f>($E$9+$E$10)*'ARP Timing'!B$16</f>
        <v>5.8765000000000009</v>
      </c>
      <c r="F30" s="755">
        <f>($E$9+$E$10)*'ARP Timing'!C$16</f>
        <v>5.8765000000000009</v>
      </c>
      <c r="G30" s="755">
        <f>($E$9+$E$10)*'ARP Timing'!D$16</f>
        <v>4.11355</v>
      </c>
      <c r="H30" s="755">
        <f>($E$9+$E$10)*'ARP Timing'!E$16</f>
        <v>4.11355</v>
      </c>
      <c r="I30" s="755">
        <f>($E$9+$E$10)*'ARP Timing'!F$16</f>
        <v>4.11355</v>
      </c>
      <c r="J30" s="755">
        <f>($E$9+$E$10)*'ARP Timing'!G$16</f>
        <v>4.11355</v>
      </c>
      <c r="K30" s="755">
        <f>($E$9+$E$10)*'ARP Timing'!H$16</f>
        <v>4.11355</v>
      </c>
      <c r="L30" s="755">
        <f>($E$9+$E$10)*'ARP Timing'!I$16</f>
        <v>4.11355</v>
      </c>
      <c r="M30" s="755">
        <f>($E$9+$E$10)*'ARP Timing'!J$16</f>
        <v>4.11355</v>
      </c>
      <c r="N30" s="755">
        <f>($E$9+$E$10)*'ARP Timing'!K$16</f>
        <v>4.11355</v>
      </c>
      <c r="O30" s="755">
        <f>($E$9+$E$10)*'ARP Timing'!L$16</f>
        <v>4.11355</v>
      </c>
      <c r="P30" s="755">
        <f>($E$9+$E$10)*'ARP Timing'!M$16</f>
        <v>4.11355</v>
      </c>
      <c r="Q30" s="755">
        <f>($E$9+$E$10)*'ARP Timing'!N$16</f>
        <v>3.987625</v>
      </c>
      <c r="R30" s="755">
        <f>($E$9+$E$10)*'ARP Timing'!O$16</f>
        <v>3.987625</v>
      </c>
      <c r="S30" s="755">
        <f>($E$9+$E$10)*'ARP Timing'!P$16</f>
        <v>3.987625</v>
      </c>
      <c r="T30" s="755">
        <f>($E$9+$E$10)*'ARP Timing'!Q$16</f>
        <v>3.987625</v>
      </c>
      <c r="U30" s="755">
        <f>($E$9+$E$10)*'ARP Timing'!R$16</f>
        <v>3.987625</v>
      </c>
      <c r="V30" s="755">
        <f>($E$9+$E$10)*'ARP Timing'!S$16</f>
        <v>3.987625</v>
      </c>
    </row>
    <row r="31" spans="1:23" x14ac:dyDescent="0.35">
      <c r="B31" s="33" t="s">
        <v>774</v>
      </c>
      <c r="C31" s="1199"/>
      <c r="F31" s="755">
        <f>($F$9+$F$10)*'ARP Timing'!B$16</f>
        <v>5.7722700000000016</v>
      </c>
      <c r="G31" s="755">
        <f>($F$9+$F$10)*'ARP Timing'!C$16</f>
        <v>5.7722700000000016</v>
      </c>
      <c r="H31" s="755">
        <f>($F$9+$F$10)*'ARP Timing'!D$16</f>
        <v>4.0405890000000007</v>
      </c>
      <c r="I31" s="755">
        <f>($F$9+$F$10)*'ARP Timing'!E$16</f>
        <v>4.0405890000000007</v>
      </c>
      <c r="J31" s="755">
        <f>($F$9+$F$10)*'ARP Timing'!F$16</f>
        <v>4.0405890000000007</v>
      </c>
      <c r="K31" s="755">
        <f>($F$9+$F$10)*'ARP Timing'!G$16</f>
        <v>4.0405890000000007</v>
      </c>
      <c r="L31" s="755">
        <f>($F$9+$F$10)*'ARP Timing'!H$16</f>
        <v>4.0405890000000007</v>
      </c>
      <c r="M31" s="755">
        <f>($F$9+$F$10)*'ARP Timing'!I$16</f>
        <v>4.0405890000000007</v>
      </c>
      <c r="N31" s="755">
        <f>($F$9+$F$10)*'ARP Timing'!J$16</f>
        <v>4.0405890000000007</v>
      </c>
      <c r="O31" s="755">
        <f>($F$9+$F$10)*'ARP Timing'!K$16</f>
        <v>4.0405890000000007</v>
      </c>
      <c r="P31" s="755">
        <f>($F$9+$F$10)*'ARP Timing'!L$16</f>
        <v>4.0405890000000007</v>
      </c>
      <c r="Q31" s="755">
        <f>($F$9+$F$10)*'ARP Timing'!M$16</f>
        <v>4.0405890000000007</v>
      </c>
      <c r="R31" s="755">
        <f>($F$9+$F$10)*'ARP Timing'!N$16</f>
        <v>3.9168975000000006</v>
      </c>
      <c r="S31" s="755">
        <f>($F$9+$F$10)*'ARP Timing'!O$16</f>
        <v>3.9168975000000006</v>
      </c>
      <c r="T31" s="755">
        <f>($F$9+$F$10)*'ARP Timing'!P$16</f>
        <v>3.9168975000000006</v>
      </c>
      <c r="U31" s="755">
        <f>($F$9+$F$10)*'ARP Timing'!Q$16</f>
        <v>3.9168975000000006</v>
      </c>
      <c r="V31" s="755">
        <f>($F$9+$F$10)*'ARP Timing'!R$16</f>
        <v>3.9168975000000006</v>
      </c>
    </row>
    <row r="32" spans="1:23" x14ac:dyDescent="0.35">
      <c r="A32" s="755">
        <v>2022</v>
      </c>
      <c r="B32" s="33" t="s">
        <v>240</v>
      </c>
      <c r="C32" s="1199"/>
      <c r="G32" s="755">
        <f>($G$9+$G$10)*'ARP Timing'!B$16</f>
        <v>5.7722700000000016</v>
      </c>
      <c r="H32" s="755">
        <f>($G$9+$G$10)*'ARP Timing'!C$16</f>
        <v>5.7722700000000016</v>
      </c>
      <c r="I32" s="755">
        <f>($G$9+$G$10)*'ARP Timing'!D$16</f>
        <v>4.0405890000000007</v>
      </c>
      <c r="J32" s="755">
        <f>($G$9+$G$10)*'ARP Timing'!E$16</f>
        <v>4.0405890000000007</v>
      </c>
      <c r="K32" s="755">
        <f>($G$9+$G$10)*'ARP Timing'!F$16</f>
        <v>4.0405890000000007</v>
      </c>
      <c r="L32" s="755">
        <f>($G$9+$G$10)*'ARP Timing'!G$16</f>
        <v>4.0405890000000007</v>
      </c>
      <c r="M32" s="755">
        <f>($G$9+$G$10)*'ARP Timing'!H$16</f>
        <v>4.0405890000000007</v>
      </c>
      <c r="N32" s="755">
        <f>($G$9+$G$10)*'ARP Timing'!I$16</f>
        <v>4.0405890000000007</v>
      </c>
      <c r="O32" s="755">
        <f>($G$9+$G$10)*'ARP Timing'!J$16</f>
        <v>4.0405890000000007</v>
      </c>
      <c r="P32" s="755">
        <f>($G$9+$G$10)*'ARP Timing'!K$16</f>
        <v>4.0405890000000007</v>
      </c>
      <c r="Q32" s="755">
        <f>($G$9+$G$10)*'ARP Timing'!L$16</f>
        <v>4.0405890000000007</v>
      </c>
      <c r="R32" s="755">
        <f>($G$9+$G$10)*'ARP Timing'!M$16</f>
        <v>4.0405890000000007</v>
      </c>
      <c r="S32" s="755">
        <f>($G$9+$G$10)*'ARP Timing'!N$16</f>
        <v>3.9168975000000006</v>
      </c>
      <c r="T32" s="755">
        <f>($G$9+$G$10)*'ARP Timing'!O$16</f>
        <v>3.9168975000000006</v>
      </c>
      <c r="U32" s="755">
        <f>($G$9+$G$10)*'ARP Timing'!P$16</f>
        <v>3.9168975000000006</v>
      </c>
      <c r="V32" s="755">
        <f>($G$9+$G$10)*'ARP Timing'!Q$16</f>
        <v>3.9168975000000006</v>
      </c>
    </row>
    <row r="33" spans="1:23" x14ac:dyDescent="0.35">
      <c r="B33" s="33" t="s">
        <v>241</v>
      </c>
      <c r="C33" s="1199"/>
      <c r="H33" s="755">
        <f>($H$9+$H$10)*'ARP Timing'!B$16</f>
        <v>5.7722700000000016</v>
      </c>
      <c r="I33" s="755">
        <f>($H$9+$H$10)*'ARP Timing'!C$16</f>
        <v>5.7722700000000016</v>
      </c>
      <c r="J33" s="755">
        <f>($H$9+$H$10)*'ARP Timing'!D$16</f>
        <v>4.0405890000000007</v>
      </c>
      <c r="K33" s="755">
        <f>($H$9+$H$10)*'ARP Timing'!E$16</f>
        <v>4.0405890000000007</v>
      </c>
      <c r="L33" s="755">
        <f>($H$9+$H$10)*'ARP Timing'!F$16</f>
        <v>4.0405890000000007</v>
      </c>
      <c r="M33" s="755">
        <f>($H$9+$H$10)*'ARP Timing'!G$16</f>
        <v>4.0405890000000007</v>
      </c>
      <c r="N33" s="755">
        <f>($H$9+$H$10)*'ARP Timing'!H$16</f>
        <v>4.0405890000000007</v>
      </c>
      <c r="O33" s="755">
        <f>($H$9+$H$10)*'ARP Timing'!I$16</f>
        <v>4.0405890000000007</v>
      </c>
      <c r="P33" s="755">
        <f>($H$9+$H$10)*'ARP Timing'!J$16</f>
        <v>4.0405890000000007</v>
      </c>
      <c r="Q33" s="755">
        <f>($H$9+$H$10)*'ARP Timing'!K$16</f>
        <v>4.0405890000000007</v>
      </c>
      <c r="R33" s="755">
        <f>($H$9+$H$10)*'ARP Timing'!L$16</f>
        <v>4.0405890000000007</v>
      </c>
      <c r="S33" s="755">
        <f>($H$9+$H$10)*'ARP Timing'!M$16</f>
        <v>4.0405890000000007</v>
      </c>
      <c r="T33" s="755">
        <f>($H$9+$H$10)*'ARP Timing'!N$16</f>
        <v>3.9168975000000006</v>
      </c>
      <c r="U33" s="755">
        <f>($H$9+$H$10)*'ARP Timing'!O$16</f>
        <v>3.9168975000000006</v>
      </c>
      <c r="V33" s="755">
        <f>($H$9+$H$10)*'ARP Timing'!P$16</f>
        <v>3.9168975000000006</v>
      </c>
    </row>
    <row r="34" spans="1:23" x14ac:dyDescent="0.35">
      <c r="B34" s="33" t="s">
        <v>330</v>
      </c>
      <c r="C34" s="1199"/>
      <c r="H34" s="1199"/>
      <c r="I34" s="755">
        <f>($I$9+$I10)*'ARP Timing'!B$16</f>
        <v>5.7722700000000016</v>
      </c>
      <c r="J34" s="755">
        <f>($I$9+$I10)*'ARP Timing'!C$16</f>
        <v>5.7722700000000016</v>
      </c>
      <c r="K34" s="755">
        <f>($I$9+$I10)*'ARP Timing'!D$16</f>
        <v>4.0405890000000007</v>
      </c>
      <c r="L34" s="755">
        <f>($I$9+$I10)*'ARP Timing'!E$16</f>
        <v>4.0405890000000007</v>
      </c>
      <c r="M34" s="755">
        <f>($I$9+$I10)*'ARP Timing'!F$16</f>
        <v>4.0405890000000007</v>
      </c>
      <c r="N34" s="755">
        <f>($I$9+$I10)*'ARP Timing'!G$16</f>
        <v>4.0405890000000007</v>
      </c>
      <c r="O34" s="755">
        <f>($I$9+$I10)*'ARP Timing'!H$16</f>
        <v>4.0405890000000007</v>
      </c>
      <c r="P34" s="755">
        <f>($I$9+$I10)*'ARP Timing'!I$16</f>
        <v>4.0405890000000007</v>
      </c>
      <c r="Q34" s="755">
        <f>($I$9+$I10)*'ARP Timing'!J$16</f>
        <v>4.0405890000000007</v>
      </c>
      <c r="R34" s="755">
        <f>($I$9+$I10)*'ARP Timing'!K$16</f>
        <v>4.0405890000000007</v>
      </c>
      <c r="S34" s="755">
        <f>($I$9+$I10)*'ARP Timing'!L$16</f>
        <v>4.0405890000000007</v>
      </c>
      <c r="T34" s="755">
        <f>($I$9+$I10)*'ARP Timing'!M$16</f>
        <v>4.0405890000000007</v>
      </c>
      <c r="U34" s="755">
        <f>($I$9+$I10)*'ARP Timing'!N$16</f>
        <v>3.9168975000000006</v>
      </c>
      <c r="V34" s="755">
        <f>($I$9+$I10)*'ARP Timing'!O$16</f>
        <v>3.9168975000000006</v>
      </c>
    </row>
    <row r="35" spans="1:23" x14ac:dyDescent="0.35">
      <c r="B35" s="33" t="s">
        <v>774</v>
      </c>
      <c r="C35" s="1199"/>
      <c r="H35" s="1199"/>
      <c r="J35" s="755">
        <f>($J$9+$J$10)*'ARP Timing'!B$16</f>
        <v>4.3968400000000001</v>
      </c>
      <c r="K35" s="755">
        <f>($J$9+$J$10)*'ARP Timing'!C$16</f>
        <v>4.3968400000000001</v>
      </c>
      <c r="L35" s="755">
        <f>($J$9+$J$10)*'ARP Timing'!D$16</f>
        <v>3.077788</v>
      </c>
      <c r="M35" s="755">
        <f>($J$9+$J$10)*'ARP Timing'!E$16</f>
        <v>3.077788</v>
      </c>
      <c r="N35" s="755">
        <f>($J$9+$J$10)*'ARP Timing'!F$16</f>
        <v>3.077788</v>
      </c>
      <c r="O35" s="755">
        <f>($J$9+$J$10)*'ARP Timing'!G$16</f>
        <v>3.077788</v>
      </c>
      <c r="P35" s="755">
        <f>($J$9+$J$10)*'ARP Timing'!H$16</f>
        <v>3.077788</v>
      </c>
      <c r="Q35" s="755">
        <f>($J$9+$J$10)*'ARP Timing'!I$16</f>
        <v>3.077788</v>
      </c>
      <c r="R35" s="755">
        <f>($J$9+$J$10)*'ARP Timing'!J$16</f>
        <v>3.077788</v>
      </c>
      <c r="S35" s="755">
        <f>($J$9+$J$10)*'ARP Timing'!K$16</f>
        <v>3.077788</v>
      </c>
      <c r="T35" s="755">
        <f>($J$9+$J$10)*'ARP Timing'!L$16</f>
        <v>3.077788</v>
      </c>
      <c r="U35" s="755">
        <f>($J$9+$J$10)*'ARP Timing'!M$16</f>
        <v>3.077788</v>
      </c>
      <c r="V35" s="755">
        <f>($J$9+$J$10)*'ARP Timing'!N$16</f>
        <v>2.9835699999999998</v>
      </c>
    </row>
    <row r="36" spans="1:23" x14ac:dyDescent="0.35">
      <c r="A36" s="755">
        <v>2023</v>
      </c>
      <c r="B36" s="33" t="s">
        <v>240</v>
      </c>
      <c r="C36" s="1199"/>
      <c r="H36" s="1199"/>
      <c r="K36" s="755">
        <f>($K$9+$K$10)*'ARP Timing'!B$16</f>
        <v>4.3968400000000001</v>
      </c>
      <c r="L36" s="755">
        <f>($K$9+$K$10)*'ARP Timing'!C$16</f>
        <v>4.3968400000000001</v>
      </c>
      <c r="M36" s="755">
        <f>($K$9+$K$10)*'ARP Timing'!D$16</f>
        <v>3.077788</v>
      </c>
      <c r="N36" s="755">
        <f>($K$9+$K$10)*'ARP Timing'!E$16</f>
        <v>3.077788</v>
      </c>
      <c r="O36" s="755">
        <f>($K$9+$K$10)*'ARP Timing'!F$16</f>
        <v>3.077788</v>
      </c>
      <c r="P36" s="755">
        <f>($K$9+$K$10)*'ARP Timing'!G$16</f>
        <v>3.077788</v>
      </c>
      <c r="Q36" s="755">
        <f>($K$9+$K$10)*'ARP Timing'!H$16</f>
        <v>3.077788</v>
      </c>
      <c r="R36" s="755">
        <f>($K$9+$K$10)*'ARP Timing'!I$16</f>
        <v>3.077788</v>
      </c>
      <c r="S36" s="755">
        <f>($K$9+$K$10)*'ARP Timing'!J$16</f>
        <v>3.077788</v>
      </c>
      <c r="T36" s="755">
        <f>($K$9+$K$10)*'ARP Timing'!K$16</f>
        <v>3.077788</v>
      </c>
      <c r="U36" s="755">
        <f>($K$9+$K$10)*'ARP Timing'!L$16</f>
        <v>3.077788</v>
      </c>
      <c r="V36" s="755">
        <f>($K$9+$K$10)*'ARP Timing'!M$16</f>
        <v>3.077788</v>
      </c>
    </row>
    <row r="37" spans="1:23" x14ac:dyDescent="0.35">
      <c r="B37" s="33" t="s">
        <v>241</v>
      </c>
      <c r="C37" s="1199"/>
      <c r="H37" s="1199"/>
      <c r="L37" s="755">
        <f>($L$9+$L$10)*'ARP Timing'!B$16</f>
        <v>4.3968400000000001</v>
      </c>
      <c r="M37" s="755">
        <f>($L$9+$L$10)*'ARP Timing'!C$16</f>
        <v>4.3968400000000001</v>
      </c>
      <c r="N37" s="755">
        <f>($L$9+$L$10)*'ARP Timing'!D$16</f>
        <v>3.077788</v>
      </c>
      <c r="O37" s="755">
        <f>($L$9+$L$10)*'ARP Timing'!E$16</f>
        <v>3.077788</v>
      </c>
      <c r="P37" s="755">
        <f>($L$9+$L$10)*'ARP Timing'!F$16</f>
        <v>3.077788</v>
      </c>
      <c r="Q37" s="755">
        <f>($L$9+$L$10)*'ARP Timing'!G$16</f>
        <v>3.077788</v>
      </c>
      <c r="R37" s="755">
        <f>($L$9+$L$10)*'ARP Timing'!H$16</f>
        <v>3.077788</v>
      </c>
      <c r="S37" s="755">
        <f>($L$9+$L$10)*'ARP Timing'!I$16</f>
        <v>3.077788</v>
      </c>
      <c r="T37" s="755">
        <f>($L$9+$L$10)*'ARP Timing'!J$16</f>
        <v>3.077788</v>
      </c>
      <c r="U37" s="755">
        <f>($L$9+$L$10)*'ARP Timing'!K$16</f>
        <v>3.077788</v>
      </c>
      <c r="V37" s="755">
        <f>($L$9+$L$10)*'ARP Timing'!L$16</f>
        <v>3.077788</v>
      </c>
    </row>
    <row r="38" spans="1:23" x14ac:dyDescent="0.35">
      <c r="B38" s="33" t="s">
        <v>330</v>
      </c>
      <c r="C38" s="1199"/>
      <c r="H38" s="1199"/>
      <c r="M38" s="755">
        <f>($M$9+$M$10)*'ARP Timing'!B$16</f>
        <v>4.3968400000000001</v>
      </c>
      <c r="N38" s="755">
        <f>($M$9+$M$10)*'ARP Timing'!C$16</f>
        <v>4.3968400000000001</v>
      </c>
      <c r="O38" s="755">
        <f>($M$9+$M$10)*'ARP Timing'!D$16</f>
        <v>3.077788</v>
      </c>
      <c r="P38" s="755">
        <f>($M$9+$M$10)*'ARP Timing'!E$16</f>
        <v>3.077788</v>
      </c>
      <c r="Q38" s="755">
        <f>($M$9+$M$10)*'ARP Timing'!F$16</f>
        <v>3.077788</v>
      </c>
      <c r="R38" s="755">
        <f>($M$9+$M$10)*'ARP Timing'!G$16</f>
        <v>3.077788</v>
      </c>
      <c r="S38" s="755">
        <f>($M$9+$M$10)*'ARP Timing'!H$16</f>
        <v>3.077788</v>
      </c>
      <c r="T38" s="755">
        <f>($M$9+$M$10)*'ARP Timing'!I$16</f>
        <v>3.077788</v>
      </c>
      <c r="U38" s="755">
        <f>($M$9+$M$10)*'ARP Timing'!J$16</f>
        <v>3.077788</v>
      </c>
      <c r="V38" s="755">
        <f>($M$9+$M$10)*'ARP Timing'!K$16</f>
        <v>3.077788</v>
      </c>
    </row>
    <row r="39" spans="1:23" x14ac:dyDescent="0.35">
      <c r="B39" s="33" t="s">
        <v>774</v>
      </c>
      <c r="C39" s="1199"/>
      <c r="H39" s="1199"/>
      <c r="N39" s="755">
        <f>($N$9+$N$10)*'ARP Timing'!B$16</f>
        <v>2.9087800000000006</v>
      </c>
      <c r="O39" s="755">
        <f>($N$9+$N$10)*'ARP Timing'!C$16</f>
        <v>2.9087800000000006</v>
      </c>
      <c r="P39" s="755">
        <f>($N$9+$N$10)*'ARP Timing'!D$16</f>
        <v>2.036146</v>
      </c>
      <c r="Q39" s="755">
        <f>($N$9+$N$10)*'ARP Timing'!E$16</f>
        <v>2.036146</v>
      </c>
      <c r="R39" s="755">
        <f>($N$9+$N$10)*'ARP Timing'!F$16</f>
        <v>2.036146</v>
      </c>
      <c r="S39" s="755">
        <f>($N$9+$N$10)*'ARP Timing'!G$16</f>
        <v>2.036146</v>
      </c>
      <c r="T39" s="755">
        <f>($N$9+$N$10)*'ARP Timing'!H$16</f>
        <v>2.036146</v>
      </c>
      <c r="U39" s="755">
        <f>($N$9+$N$10)*'ARP Timing'!I$16</f>
        <v>2.036146</v>
      </c>
      <c r="V39" s="755">
        <f>($N$9+$N$10)*'ARP Timing'!J$16</f>
        <v>2.036146</v>
      </c>
    </row>
    <row r="40" spans="1:23" x14ac:dyDescent="0.35">
      <c r="A40" s="755">
        <v>2024</v>
      </c>
      <c r="B40" s="33" t="s">
        <v>240</v>
      </c>
      <c r="C40" s="1199"/>
      <c r="H40" s="1199"/>
      <c r="O40" s="755">
        <f>($O$9+$O$10)*'ARP Timing'!B$16</f>
        <v>2.9087800000000006</v>
      </c>
      <c r="P40" s="755">
        <f>($O$9+$O$10)*'ARP Timing'!C$16</f>
        <v>2.9087800000000006</v>
      </c>
      <c r="Q40" s="755">
        <f>($O$9+$O$10)*'ARP Timing'!D$16</f>
        <v>2.036146</v>
      </c>
      <c r="R40" s="755">
        <f>($O$9+$O$10)*'ARP Timing'!E$16</f>
        <v>2.036146</v>
      </c>
      <c r="S40" s="755">
        <f>($O$9+$O$10)*'ARP Timing'!F$16</f>
        <v>2.036146</v>
      </c>
      <c r="T40" s="755">
        <f>($O$9+$O$10)*'ARP Timing'!G$16</f>
        <v>2.036146</v>
      </c>
      <c r="U40" s="755">
        <f>($O$9+$O$10)*'ARP Timing'!H$16</f>
        <v>2.036146</v>
      </c>
      <c r="V40" s="755">
        <f>($O$9+$O$10)*'ARP Timing'!I$16</f>
        <v>2.036146</v>
      </c>
    </row>
    <row r="41" spans="1:23" x14ac:dyDescent="0.35">
      <c r="B41" s="33" t="s">
        <v>241</v>
      </c>
      <c r="C41" s="1199"/>
      <c r="H41" s="1199"/>
      <c r="P41" s="755">
        <f>($P$9+$P$10)*'ARP Timing'!B$16</f>
        <v>2.9087800000000006</v>
      </c>
      <c r="Q41" s="755">
        <f>($P$9+$P$10)*'ARP Timing'!C$16</f>
        <v>2.9087800000000006</v>
      </c>
      <c r="R41" s="755">
        <f>($P$9+$P$10)*'ARP Timing'!D$16</f>
        <v>2.036146</v>
      </c>
      <c r="S41" s="755">
        <f>($P$9+$P$10)*'ARP Timing'!E$16</f>
        <v>2.036146</v>
      </c>
      <c r="T41" s="755">
        <f>($P$9+$P$10)*'ARP Timing'!F$16</f>
        <v>2.036146</v>
      </c>
      <c r="U41" s="755">
        <f>($P$9+$P$10)*'ARP Timing'!G$16</f>
        <v>2.036146</v>
      </c>
      <c r="V41" s="755">
        <f>($P$9+$P$10)*'ARP Timing'!H$16</f>
        <v>2.036146</v>
      </c>
    </row>
    <row r="42" spans="1:23" x14ac:dyDescent="0.35">
      <c r="B42" s="33" t="s">
        <v>330</v>
      </c>
      <c r="C42" s="1199"/>
      <c r="H42" s="1199"/>
      <c r="Q42" s="755">
        <f>($Q$9+$Q$10)*'ARP Timing'!B$16</f>
        <v>2.9087800000000006</v>
      </c>
      <c r="R42" s="755">
        <f>($Q$9+$Q$10)*'ARP Timing'!C$16</f>
        <v>2.9087800000000006</v>
      </c>
      <c r="S42" s="755">
        <f>($Q$9+$Q$10)*'ARP Timing'!D$16</f>
        <v>2.036146</v>
      </c>
      <c r="T42" s="755">
        <f>($Q$9+$Q$10)*'ARP Timing'!E$16</f>
        <v>2.036146</v>
      </c>
      <c r="U42" s="755">
        <f>($Q$9+$Q$10)*'ARP Timing'!F$16</f>
        <v>2.036146</v>
      </c>
      <c r="V42" s="755">
        <f>($Q$9+$Q$10)*'ARP Timing'!G$16</f>
        <v>2.036146</v>
      </c>
    </row>
    <row r="43" spans="1:23" x14ac:dyDescent="0.35">
      <c r="B43" s="33" t="s">
        <v>774</v>
      </c>
      <c r="C43" s="1199"/>
      <c r="H43" s="1199"/>
      <c r="R43" s="755">
        <f>($R$9+$R$10)*'ARP Timing'!B$16</f>
        <v>1.9374600000000002</v>
      </c>
      <c r="S43" s="755">
        <f>($R$9+$R$10)*'ARP Timing'!C$16</f>
        <v>1.9374600000000002</v>
      </c>
      <c r="T43" s="755">
        <f>($R$9+$R$10)*'ARP Timing'!D$16</f>
        <v>1.356222</v>
      </c>
      <c r="U43" s="755">
        <f>($R$9+$R$10)*'ARP Timing'!E$16</f>
        <v>1.356222</v>
      </c>
      <c r="V43" s="755">
        <f>($R$9+$R$10)*'ARP Timing'!F$16</f>
        <v>1.356222</v>
      </c>
    </row>
    <row r="44" spans="1:23" x14ac:dyDescent="0.35">
      <c r="S44" s="755">
        <f>($S$9+$S$10)*'ARP Timing'!B$16</f>
        <v>1.9374600000000002</v>
      </c>
      <c r="T44" s="755">
        <f>($S$9+$S$10)*'ARP Timing'!C$16</f>
        <v>1.9374600000000002</v>
      </c>
      <c r="U44" s="755">
        <f>($S$9+$S$10)*'ARP Timing'!D$16</f>
        <v>1.356222</v>
      </c>
      <c r="V44" s="755">
        <f>($S$9+$S$10)*'ARP Timing'!E$16</f>
        <v>1.356222</v>
      </c>
    </row>
    <row r="46" spans="1:23" x14ac:dyDescent="0.35">
      <c r="B46" s="755" t="s">
        <v>775</v>
      </c>
      <c r="D46" s="210" t="s">
        <v>250</v>
      </c>
      <c r="E46" s="210" t="s">
        <v>180</v>
      </c>
      <c r="F46" s="210" t="s">
        <v>181</v>
      </c>
      <c r="G46" s="210" t="s">
        <v>182</v>
      </c>
      <c r="H46" s="210" t="s">
        <v>183</v>
      </c>
      <c r="I46" s="210" t="s">
        <v>184</v>
      </c>
      <c r="J46" s="210" t="s">
        <v>185</v>
      </c>
      <c r="K46" s="210" t="s">
        <v>186</v>
      </c>
      <c r="L46" s="210" t="s">
        <v>187</v>
      </c>
      <c r="M46" s="210" t="s">
        <v>188</v>
      </c>
      <c r="N46" s="210" t="s">
        <v>189</v>
      </c>
      <c r="O46" s="210" t="s">
        <v>190</v>
      </c>
      <c r="P46" s="210" t="s">
        <v>191</v>
      </c>
      <c r="Q46" s="210" t="s">
        <v>175</v>
      </c>
      <c r="R46" s="210" t="s">
        <v>176</v>
      </c>
      <c r="S46" s="210" t="s">
        <v>177</v>
      </c>
      <c r="T46" s="210" t="s">
        <v>763</v>
      </c>
      <c r="U46" s="210" t="s">
        <v>764</v>
      </c>
      <c r="V46" s="210" t="s">
        <v>765</v>
      </c>
    </row>
    <row r="47" spans="1:23" x14ac:dyDescent="0.35">
      <c r="B47" s="33"/>
      <c r="C47" s="1199" t="s">
        <v>311</v>
      </c>
      <c r="D47" s="1203">
        <f t="shared" ref="D47:U47" si="42">SUM(D48:D66)</f>
        <v>0</v>
      </c>
      <c r="E47" s="1203">
        <f t="shared" si="42"/>
        <v>0</v>
      </c>
      <c r="F47" s="1203">
        <f t="shared" si="42"/>
        <v>34.620851999999999</v>
      </c>
      <c r="G47" s="1203">
        <f t="shared" si="42"/>
        <v>50.996274799999995</v>
      </c>
      <c r="H47" s="1203">
        <f t="shared" si="42"/>
        <v>69.350031999999999</v>
      </c>
      <c r="I47" s="1203">
        <f t="shared" si="42"/>
        <v>79.295867999999999</v>
      </c>
      <c r="J47" s="1203">
        <f t="shared" si="42"/>
        <v>80.538927999999999</v>
      </c>
      <c r="K47" s="1203">
        <f t="shared" si="42"/>
        <v>80.122543199999996</v>
      </c>
      <c r="L47" s="1203">
        <f t="shared" si="42"/>
        <v>88.916719999999998</v>
      </c>
      <c r="M47" s="1203">
        <f t="shared" si="42"/>
        <v>92.213943999999998</v>
      </c>
      <c r="N47" s="1203">
        <f t="shared" si="42"/>
        <v>92.213943999999998</v>
      </c>
      <c r="O47" s="1203">
        <f t="shared" si="42"/>
        <v>94.213943999999998</v>
      </c>
      <c r="P47" s="1203">
        <f t="shared" si="42"/>
        <v>98.916719999999998</v>
      </c>
      <c r="Q47" s="1203">
        <f t="shared" si="42"/>
        <v>98.916719999999998</v>
      </c>
      <c r="R47" s="1203">
        <f t="shared" si="42"/>
        <v>99.081581199999988</v>
      </c>
      <c r="S47" s="1203">
        <f t="shared" si="42"/>
        <v>93.146578000000005</v>
      </c>
      <c r="T47" s="1203">
        <f t="shared" si="42"/>
        <v>86.552129999999991</v>
      </c>
      <c r="U47" s="1203">
        <f t="shared" si="42"/>
        <v>86.552129999999991</v>
      </c>
      <c r="V47" s="1203">
        <f>SUM(V48:V66)</f>
        <v>82.265738799999994</v>
      </c>
      <c r="W47" s="755">
        <f>SUM(G47:V47)/4</f>
        <v>343.32344900000004</v>
      </c>
    </row>
    <row r="48" spans="1:23" x14ac:dyDescent="0.35">
      <c r="A48" s="755">
        <v>2021</v>
      </c>
      <c r="B48" s="33" t="s">
        <v>773</v>
      </c>
      <c r="C48" s="1199"/>
      <c r="D48" s="755">
        <f>($D$8)*'ARP Timing'!B17</f>
        <v>0</v>
      </c>
      <c r="E48" s="755">
        <f>($D$8)*'ARP Timing'!C17</f>
        <v>0</v>
      </c>
      <c r="F48" s="755">
        <f>($D$8)*'ARP Timing'!D17</f>
        <v>34.620851999999999</v>
      </c>
      <c r="G48" s="755">
        <f>($D$8)*'ARP Timing'!E17</f>
        <v>45.996274799999995</v>
      </c>
      <c r="H48" s="755">
        <f>($D$8)*'ARP Timing'!F17</f>
        <v>59.350031999999992</v>
      </c>
      <c r="I48" s="755">
        <f>($D$8)*'ARP Timing'!G17</f>
        <v>64.295867999999999</v>
      </c>
      <c r="J48" s="755">
        <f>($D$8)*'ARP Timing'!H17</f>
        <v>49.458359999999999</v>
      </c>
      <c r="K48" s="755">
        <f>($D$8)*'ARP Timing'!I17</f>
        <v>49.458359999999999</v>
      </c>
      <c r="L48" s="755">
        <f>($D$8)*'ARP Timing'!J17</f>
        <v>59.350031999999992</v>
      </c>
      <c r="M48" s="755">
        <f>($D$8)*'ARP Timing'!K17</f>
        <v>59.350031999999992</v>
      </c>
      <c r="N48" s="755">
        <f>($D$8)*'ARP Timing'!L17</f>
        <v>69.241703999999999</v>
      </c>
      <c r="O48" s="755">
        <f>($D$8)*'ARP Timing'!M17</f>
        <v>69.241703999999999</v>
      </c>
      <c r="P48" s="755">
        <f>($D$8)*'ARP Timing'!N17</f>
        <v>59.350031999999992</v>
      </c>
      <c r="Q48" s="755">
        <f>($D$8)*'ARP Timing'!O17</f>
        <v>59.350031999999992</v>
      </c>
      <c r="R48" s="755">
        <f>($D$8)*'ARP Timing'!P17</f>
        <v>52.920445199999989</v>
      </c>
      <c r="S48" s="755">
        <f>($D$8)*'ARP Timing'!Q17</f>
        <v>46.985441999999992</v>
      </c>
      <c r="T48" s="755">
        <f>($D$8)*'ARP Timing'!R17</f>
        <v>46.985441999999992</v>
      </c>
      <c r="U48" s="755">
        <f>($D$8)*'ARP Timing'!S17</f>
        <v>46.985441999999992</v>
      </c>
      <c r="V48" s="755">
        <f>($D$8)*'ARP Timing'!T17</f>
        <v>46.985441999999992</v>
      </c>
    </row>
    <row r="49" spans="1:22" x14ac:dyDescent="0.35">
      <c r="B49" s="33" t="s">
        <v>330</v>
      </c>
      <c r="C49" s="1199"/>
      <c r="E49" s="755">
        <f>($E$8)*'ARP Timing'!B$17</f>
        <v>0</v>
      </c>
      <c r="F49" s="755">
        <f>($E$8)*'ARP Timing'!C$16</f>
        <v>0</v>
      </c>
      <c r="G49" s="755">
        <f>($E$8)*'ARP Timing'!D$16</f>
        <v>0</v>
      </c>
      <c r="H49" s="755">
        <f>($E$8)*'ARP Timing'!E$16</f>
        <v>0</v>
      </c>
      <c r="I49" s="755">
        <f>($E$8)*'ARP Timing'!F$16</f>
        <v>0</v>
      </c>
      <c r="J49" s="755">
        <f>($E$8)*'ARP Timing'!G$16</f>
        <v>0</v>
      </c>
      <c r="K49" s="755">
        <f>($E$8)*'ARP Timing'!H$16</f>
        <v>0</v>
      </c>
      <c r="L49" s="755">
        <f>($E$8)*'ARP Timing'!I$16</f>
        <v>0</v>
      </c>
      <c r="M49" s="755">
        <f>($E$8)*'ARP Timing'!J$16</f>
        <v>0</v>
      </c>
      <c r="N49" s="755">
        <f>($E$8)*'ARP Timing'!K$16</f>
        <v>0</v>
      </c>
      <c r="O49" s="755">
        <f>($E$8)*'ARP Timing'!L$16</f>
        <v>0</v>
      </c>
      <c r="P49" s="755">
        <f>($E$8)*'ARP Timing'!M$16</f>
        <v>0</v>
      </c>
      <c r="Q49" s="755">
        <f>($E$8)*'ARP Timing'!N$16</f>
        <v>0</v>
      </c>
      <c r="R49" s="755">
        <f>($E$8)*'ARP Timing'!O$16</f>
        <v>0</v>
      </c>
      <c r="S49" s="755">
        <f>($E$8)*'ARP Timing'!P$16</f>
        <v>0</v>
      </c>
      <c r="T49" s="755">
        <f>($E$8)*'ARP Timing'!Q$16</f>
        <v>0</v>
      </c>
      <c r="U49" s="755">
        <f>($E$8)*'ARP Timing'!R$16</f>
        <v>0</v>
      </c>
      <c r="V49" s="755">
        <f>($E$8)*'ARP Timing'!S$16</f>
        <v>0</v>
      </c>
    </row>
    <row r="50" spans="1:22" x14ac:dyDescent="0.35">
      <c r="B50" s="33" t="s">
        <v>774</v>
      </c>
      <c r="C50" s="1199"/>
      <c r="F50" s="755">
        <f>($F$8)*'ARP Timing'!C$17</f>
        <v>0</v>
      </c>
      <c r="G50" s="755">
        <f>($F$8)*'ARP Timing'!D$17</f>
        <v>0</v>
      </c>
      <c r="H50" s="755">
        <f>($F$8)*'ARP Timing'!E$17</f>
        <v>0</v>
      </c>
      <c r="I50" s="755">
        <f>($F$8)*'ARP Timing'!F$17</f>
        <v>0</v>
      </c>
      <c r="J50" s="755">
        <f>($F$8)*'ARP Timing'!G$17</f>
        <v>0</v>
      </c>
      <c r="K50" s="755">
        <f>($F$8)*'ARP Timing'!H$17</f>
        <v>0</v>
      </c>
      <c r="L50" s="755">
        <f>($F$8)*'ARP Timing'!I$17</f>
        <v>0</v>
      </c>
      <c r="M50" s="755">
        <f>($F$8)*'ARP Timing'!J$17</f>
        <v>0</v>
      </c>
      <c r="N50" s="755">
        <f>($F$8)*'ARP Timing'!K$17</f>
        <v>0</v>
      </c>
      <c r="O50" s="755">
        <f>($F$8)*'ARP Timing'!L$17</f>
        <v>0</v>
      </c>
      <c r="P50" s="755">
        <f>($F$8)*'ARP Timing'!M$17</f>
        <v>0</v>
      </c>
      <c r="Q50" s="755">
        <f>($F$8)*'ARP Timing'!N$17</f>
        <v>0</v>
      </c>
      <c r="R50" s="755">
        <f>($F$8)*'ARP Timing'!O$17</f>
        <v>0</v>
      </c>
      <c r="S50" s="755">
        <f>($F$8)*'ARP Timing'!P$17</f>
        <v>0</v>
      </c>
      <c r="T50" s="755">
        <f>($F$8)*'ARP Timing'!Q$17</f>
        <v>0</v>
      </c>
      <c r="U50" s="755">
        <f>($F$8)*'ARP Timing'!R$17</f>
        <v>0</v>
      </c>
      <c r="V50" s="755">
        <f>($F$8)*'ARP Timing'!S$17</f>
        <v>0</v>
      </c>
    </row>
    <row r="51" spans="1:22" x14ac:dyDescent="0.35">
      <c r="A51" s="755">
        <v>2022</v>
      </c>
      <c r="B51" s="33" t="s">
        <v>240</v>
      </c>
      <c r="C51" s="1199"/>
      <c r="G51" s="755">
        <f>($G$8)*'ARP Timing'!D$17</f>
        <v>0</v>
      </c>
      <c r="H51" s="755">
        <f>($G$8)*'ARP Timing'!E$17</f>
        <v>0</v>
      </c>
      <c r="I51" s="755">
        <f>($G$8)*'ARP Timing'!F$17</f>
        <v>0</v>
      </c>
      <c r="J51" s="755">
        <f>($G$8)*'ARP Timing'!G$17</f>
        <v>0</v>
      </c>
      <c r="K51" s="755">
        <f>($G$8)*'ARP Timing'!H$17</f>
        <v>0</v>
      </c>
      <c r="L51" s="755">
        <f>($G$8)*'ARP Timing'!I$17</f>
        <v>0</v>
      </c>
      <c r="M51" s="755">
        <f>($G$8)*'ARP Timing'!J$17</f>
        <v>0</v>
      </c>
      <c r="N51" s="755">
        <f>($G$8)*'ARP Timing'!K$17</f>
        <v>0</v>
      </c>
      <c r="O51" s="755">
        <f>($G$8)*'ARP Timing'!L$17</f>
        <v>0</v>
      </c>
      <c r="P51" s="755">
        <f>($G$8)*'ARP Timing'!M$17</f>
        <v>0</v>
      </c>
      <c r="Q51" s="755">
        <f>($G$8)*'ARP Timing'!N$17</f>
        <v>0</v>
      </c>
      <c r="R51" s="755">
        <f>($G$8)*'ARP Timing'!O$17</f>
        <v>0</v>
      </c>
      <c r="S51" s="755">
        <f>($G$8)*'ARP Timing'!P$17</f>
        <v>0</v>
      </c>
      <c r="T51" s="755">
        <f>($G$8)*'ARP Timing'!Q$17</f>
        <v>0</v>
      </c>
      <c r="U51" s="755">
        <f>($G$8)*'ARP Timing'!R$17</f>
        <v>0</v>
      </c>
      <c r="V51" s="755">
        <f>($G$8)*'ARP Timing'!S$17</f>
        <v>0</v>
      </c>
    </row>
    <row r="52" spans="1:22" x14ac:dyDescent="0.35">
      <c r="B52" s="33" t="s">
        <v>241</v>
      </c>
      <c r="C52" s="1199"/>
      <c r="H52" s="755">
        <f>($H$8)*'ARP Timing'!B$17</f>
        <v>0</v>
      </c>
      <c r="I52" s="755">
        <f>($H$8)*'ARP Timing'!C$17</f>
        <v>0</v>
      </c>
      <c r="J52" s="755">
        <f>($H$8)*'ARP Timing'!D$17</f>
        <v>23.080568000000003</v>
      </c>
      <c r="K52" s="755">
        <f>($H$8)*'ARP Timing'!E$17</f>
        <v>30.6641832</v>
      </c>
      <c r="L52" s="755">
        <f>($H$8)*'ARP Timing'!F$17</f>
        <v>39.566687999999999</v>
      </c>
      <c r="M52" s="755">
        <f>($H$8)*'ARP Timing'!G$17</f>
        <v>42.863911999999999</v>
      </c>
      <c r="N52" s="755">
        <f>($H$8)*'ARP Timing'!H$17</f>
        <v>32.972239999999999</v>
      </c>
      <c r="O52" s="755">
        <f>($H$8)*'ARP Timing'!I$17</f>
        <v>32.972239999999999</v>
      </c>
      <c r="P52" s="755">
        <f>($H$8)*'ARP Timing'!J$17</f>
        <v>39.566687999999999</v>
      </c>
      <c r="Q52" s="755">
        <f>($H$8)*'ARP Timing'!K$17</f>
        <v>39.566687999999999</v>
      </c>
      <c r="R52" s="755">
        <f>($H$8)*'ARP Timing'!L$17</f>
        <v>46.161136000000006</v>
      </c>
      <c r="S52" s="755">
        <f>($H$8)*'ARP Timing'!M$17</f>
        <v>46.161136000000006</v>
      </c>
      <c r="T52" s="755">
        <f>($H$8)*'ARP Timing'!N$17</f>
        <v>39.566687999999999</v>
      </c>
      <c r="U52" s="755">
        <f>($H$8)*'ARP Timing'!O$17</f>
        <v>39.566687999999999</v>
      </c>
      <c r="V52" s="755">
        <f>($H$8)*'ARP Timing'!P$17</f>
        <v>35.280296800000002</v>
      </c>
    </row>
    <row r="53" spans="1:22" x14ac:dyDescent="0.35">
      <c r="B53" s="33" t="s">
        <v>330</v>
      </c>
      <c r="C53" s="1199"/>
      <c r="H53" s="1199"/>
      <c r="I53" s="755">
        <f>($I$8)*'ARP Timing'!B$17</f>
        <v>0</v>
      </c>
      <c r="J53" s="755">
        <f>($I$8)*'ARP Timing'!C$17</f>
        <v>0</v>
      </c>
      <c r="K53" s="755">
        <f>($I$8)*'ARP Timing'!D$17</f>
        <v>0</v>
      </c>
      <c r="L53" s="755">
        <f>($I$8)*'ARP Timing'!E$17</f>
        <v>0</v>
      </c>
      <c r="M53" s="755">
        <f>($I$8)*'ARP Timing'!F$17</f>
        <v>0</v>
      </c>
      <c r="N53" s="755">
        <f>($I$8)*'ARP Timing'!G$17</f>
        <v>0</v>
      </c>
      <c r="O53" s="755">
        <f>($I$8)*'ARP Timing'!H$17</f>
        <v>0</v>
      </c>
      <c r="P53" s="755">
        <f>($I$8)*'ARP Timing'!I$17</f>
        <v>0</v>
      </c>
      <c r="Q53" s="755">
        <f>($I$8)*'ARP Timing'!J$17</f>
        <v>0</v>
      </c>
      <c r="R53" s="755">
        <f>($I$8)*'ARP Timing'!K$17</f>
        <v>0</v>
      </c>
      <c r="S53" s="755">
        <f>($I$8)*'ARP Timing'!L$17</f>
        <v>0</v>
      </c>
      <c r="T53" s="755">
        <f>($I$8)*'ARP Timing'!M$17</f>
        <v>0</v>
      </c>
      <c r="U53" s="755">
        <f>($I$8)*'ARP Timing'!N$17</f>
        <v>0</v>
      </c>
      <c r="V53" s="755">
        <f>($I$8)*'ARP Timing'!O$17</f>
        <v>0</v>
      </c>
    </row>
    <row r="54" spans="1:22" x14ac:dyDescent="0.35">
      <c r="B54" s="33" t="s">
        <v>774</v>
      </c>
      <c r="C54" s="1199"/>
      <c r="H54" s="1199"/>
    </row>
    <row r="55" spans="1:22" x14ac:dyDescent="0.35">
      <c r="A55" s="755">
        <v>2023</v>
      </c>
      <c r="B55" s="33" t="s">
        <v>240</v>
      </c>
      <c r="C55" s="1199"/>
      <c r="H55" s="1199"/>
    </row>
    <row r="56" spans="1:22" x14ac:dyDescent="0.35">
      <c r="B56" s="33" t="s">
        <v>241</v>
      </c>
      <c r="C56" s="1199"/>
      <c r="H56" s="1199"/>
    </row>
    <row r="57" spans="1:22" x14ac:dyDescent="0.35">
      <c r="B57" s="33" t="s">
        <v>330</v>
      </c>
      <c r="C57" s="1199"/>
      <c r="H57" s="1199"/>
    </row>
    <row r="58" spans="1:22" x14ac:dyDescent="0.35">
      <c r="B58" s="33" t="s">
        <v>774</v>
      </c>
      <c r="C58" s="1199"/>
      <c r="H58" s="1199"/>
    </row>
    <row r="59" spans="1:22" x14ac:dyDescent="0.35">
      <c r="A59" s="755">
        <v>2024</v>
      </c>
      <c r="B59" s="33" t="s">
        <v>240</v>
      </c>
      <c r="C59" s="1199"/>
      <c r="H59" s="1199"/>
    </row>
    <row r="60" spans="1:22" x14ac:dyDescent="0.35">
      <c r="B60" s="33" t="s">
        <v>241</v>
      </c>
      <c r="C60" s="1199"/>
      <c r="H60" s="1199"/>
    </row>
    <row r="61" spans="1:22" x14ac:dyDescent="0.35">
      <c r="B61" s="33" t="s">
        <v>330</v>
      </c>
      <c r="C61" s="1199"/>
      <c r="H61" s="1199"/>
    </row>
    <row r="62" spans="1:22" x14ac:dyDescent="0.35">
      <c r="B62" s="33" t="s">
        <v>774</v>
      </c>
      <c r="C62" s="1199"/>
      <c r="H62" s="1199"/>
    </row>
    <row r="63" spans="1:22" x14ac:dyDescent="0.35">
      <c r="A63" t="s">
        <v>887</v>
      </c>
      <c r="B63" s="33"/>
      <c r="C63" s="1199"/>
      <c r="G63">
        <v>5</v>
      </c>
      <c r="H63" s="1199">
        <v>10</v>
      </c>
      <c r="I63">
        <v>15</v>
      </c>
      <c r="J63">
        <v>8</v>
      </c>
      <c r="K63">
        <v>0</v>
      </c>
      <c r="L63">
        <v>-10</v>
      </c>
      <c r="M63">
        <v>-10</v>
      </c>
      <c r="N63">
        <v>-10</v>
      </c>
      <c r="O63">
        <v>-8</v>
      </c>
    </row>
    <row r="64" spans="1:22" x14ac:dyDescent="0.35">
      <c r="B64" s="33"/>
      <c r="C64" s="1199"/>
      <c r="H64" s="1199"/>
    </row>
    <row r="65" spans="2:24" x14ac:dyDescent="0.35">
      <c r="B65" s="33"/>
      <c r="C65" s="1199"/>
      <c r="H65" s="1199"/>
    </row>
    <row r="66" spans="2:24" x14ac:dyDescent="0.35">
      <c r="B66" s="33"/>
      <c r="C66" s="1199"/>
      <c r="H66" s="1199"/>
    </row>
    <row r="67" spans="2:24" x14ac:dyDescent="0.35">
      <c r="B67" s="33"/>
      <c r="C67" s="1199"/>
      <c r="H67" s="1199"/>
    </row>
    <row r="68" spans="2:24" x14ac:dyDescent="0.35">
      <c r="B68" s="33"/>
      <c r="C68" s="1199"/>
      <c r="H68" s="1199"/>
    </row>
    <row r="69" spans="2:24" x14ac:dyDescent="0.35">
      <c r="B69" s="33"/>
      <c r="C69" s="1199"/>
      <c r="H69" s="1199"/>
    </row>
    <row r="70" spans="2:24" x14ac:dyDescent="0.35">
      <c r="B70" s="33"/>
      <c r="C70" s="1199"/>
      <c r="H70" s="1199"/>
    </row>
    <row r="71" spans="2:24" x14ac:dyDescent="0.35">
      <c r="B71" s="33"/>
      <c r="C71" s="1199"/>
      <c r="H71" s="1199"/>
    </row>
    <row r="72" spans="2:24" x14ac:dyDescent="0.35">
      <c r="B72" s="33"/>
      <c r="C72" s="1199"/>
      <c r="H72" s="1199"/>
    </row>
    <row r="73" spans="2:24" x14ac:dyDescent="0.35">
      <c r="B73" s="33" t="s">
        <v>776</v>
      </c>
      <c r="C73" s="1200">
        <v>2021</v>
      </c>
      <c r="D73" s="1200">
        <v>2022</v>
      </c>
      <c r="E73" s="1200">
        <v>2023</v>
      </c>
      <c r="F73" s="1200">
        <v>2024</v>
      </c>
      <c r="G73" s="1200">
        <v>2025</v>
      </c>
      <c r="H73" s="1199"/>
    </row>
    <row r="74" spans="2:24" x14ac:dyDescent="0.35">
      <c r="B74" s="33" t="s">
        <v>673</v>
      </c>
      <c r="C74" s="1204">
        <f t="shared" ref="C74:C85" si="43">SUM(C4:E4)/4</f>
        <v>0.77600000000001046</v>
      </c>
      <c r="D74" s="1204">
        <f t="shared" ref="D74:D85" si="44">SUM(F4:I4)/4</f>
        <v>19.719000000000005</v>
      </c>
      <c r="E74" s="1204">
        <f t="shared" ref="E74:E85" si="45">SUM(J4:M4)/4</f>
        <v>1.4159999999999999</v>
      </c>
      <c r="F74" s="1204">
        <f t="shared" ref="F74:F85" si="46">SUM(N4:Q4)/4</f>
        <v>1.4790000000000001</v>
      </c>
      <c r="G74" s="1204">
        <f t="shared" ref="G74:G85" si="47">SUM(R4:U4)/4</f>
        <v>1.63</v>
      </c>
    </row>
    <row r="75" spans="2:24" x14ac:dyDescent="0.35">
      <c r="B75" s="33" t="s">
        <v>674</v>
      </c>
      <c r="C75" s="1204">
        <f t="shared" si="43"/>
        <v>19.722000000000016</v>
      </c>
      <c r="D75" s="1204">
        <f t="shared" si="44"/>
        <v>52.756999999999998</v>
      </c>
      <c r="E75" s="1204">
        <f t="shared" si="45"/>
        <v>12</v>
      </c>
      <c r="F75" s="1204">
        <f t="shared" si="46"/>
        <v>4.2219999999999995</v>
      </c>
      <c r="G75" s="1204">
        <f t="shared" si="47"/>
        <v>2.3719999999999999</v>
      </c>
      <c r="H75" s="1199"/>
    </row>
    <row r="76" spans="2:24" x14ac:dyDescent="0.35">
      <c r="B76" s="33" t="s">
        <v>52</v>
      </c>
      <c r="C76" s="1204">
        <f t="shared" si="43"/>
        <v>81.643000000000001</v>
      </c>
      <c r="D76" s="1204">
        <f t="shared" si="44"/>
        <v>110.24799999999999</v>
      </c>
      <c r="E76" s="1204">
        <f t="shared" si="45"/>
        <v>12.726000000000001</v>
      </c>
      <c r="F76" s="1204">
        <f t="shared" si="46"/>
        <v>1.365</v>
      </c>
      <c r="G76" s="1204">
        <f t="shared" si="47"/>
        <v>-0.90100000000000025</v>
      </c>
      <c r="H76" s="1199"/>
      <c r="O76" s="33"/>
      <c r="P76" s="33"/>
      <c r="Q76" s="33"/>
      <c r="R76" s="33"/>
      <c r="S76" s="1205"/>
      <c r="T76" s="1205"/>
      <c r="U76" s="1205"/>
      <c r="V76" s="14"/>
      <c r="W76" s="33"/>
      <c r="X76" s="33"/>
    </row>
    <row r="77" spans="2:24" x14ac:dyDescent="0.35">
      <c r="B77" s="33" t="s">
        <v>131</v>
      </c>
      <c r="C77" s="1204">
        <f t="shared" si="43"/>
        <v>7.798</v>
      </c>
      <c r="D77" s="1204">
        <f t="shared" si="44"/>
        <v>7.9489999999999998</v>
      </c>
      <c r="E77" s="1204">
        <f t="shared" si="45"/>
        <v>4.7519999999999998</v>
      </c>
      <c r="F77" s="1204">
        <f t="shared" si="46"/>
        <v>4.637999999999999</v>
      </c>
      <c r="G77" s="1204">
        <f t="shared" si="47"/>
        <v>1.8800000000000001</v>
      </c>
      <c r="H77" s="1199"/>
    </row>
    <row r="78" spans="2:24" x14ac:dyDescent="0.35">
      <c r="B78" s="1202" t="s">
        <v>347</v>
      </c>
      <c r="C78" s="1204">
        <f t="shared" si="43"/>
        <v>247.29179999999997</v>
      </c>
      <c r="D78" s="1204">
        <f t="shared" si="44"/>
        <v>164.8612</v>
      </c>
      <c r="E78" s="1204">
        <f t="shared" si="45"/>
        <v>0</v>
      </c>
      <c r="F78" s="1204">
        <f t="shared" si="46"/>
        <v>0</v>
      </c>
      <c r="G78" s="1204">
        <f t="shared" si="47"/>
        <v>0</v>
      </c>
      <c r="H78" s="1199"/>
      <c r="R78" s="1170"/>
      <c r="S78" s="1170"/>
    </row>
    <row r="79" spans="2:24" x14ac:dyDescent="0.35">
      <c r="B79" s="1202" t="s">
        <v>150</v>
      </c>
      <c r="C79" s="1204">
        <f t="shared" si="43"/>
        <v>12.347</v>
      </c>
      <c r="D79" s="1204">
        <f t="shared" si="44"/>
        <v>46.79</v>
      </c>
      <c r="E79" s="1204">
        <f t="shared" si="45"/>
        <v>38.595999999999997</v>
      </c>
      <c r="F79" s="1204">
        <f t="shared" si="46"/>
        <v>31.911000000000001</v>
      </c>
      <c r="G79" s="1204">
        <f t="shared" si="47"/>
        <v>23.099</v>
      </c>
      <c r="H79" s="1199"/>
      <c r="R79" s="1170"/>
      <c r="S79" s="1170"/>
    </row>
    <row r="80" spans="2:24" x14ac:dyDescent="0.35">
      <c r="B80" s="1202" t="s">
        <v>363</v>
      </c>
      <c r="C80" s="1204">
        <f t="shared" si="43"/>
        <v>29.628</v>
      </c>
      <c r="D80" s="1204">
        <f t="shared" si="44"/>
        <v>35.671000000000006</v>
      </c>
      <c r="E80" s="1204">
        <f t="shared" si="45"/>
        <v>24.216000000000001</v>
      </c>
      <c r="F80" s="1204">
        <f t="shared" si="46"/>
        <v>9.6430000000000007</v>
      </c>
      <c r="G80" s="1204">
        <f t="shared" si="47"/>
        <v>4.5789999999999997</v>
      </c>
      <c r="H80" s="1199"/>
      <c r="R80" s="1170"/>
      <c r="S80" s="1170"/>
    </row>
    <row r="81" spans="2:19" x14ac:dyDescent="0.35">
      <c r="B81" s="14" t="s">
        <v>159</v>
      </c>
      <c r="C81" s="1204">
        <f t="shared" si="43"/>
        <v>25.75</v>
      </c>
      <c r="D81" s="1204">
        <f t="shared" si="44"/>
        <v>0</v>
      </c>
      <c r="E81" s="1204">
        <f t="shared" si="45"/>
        <v>0</v>
      </c>
      <c r="F81" s="1204">
        <f t="shared" si="46"/>
        <v>0</v>
      </c>
      <c r="G81" s="1204">
        <f t="shared" si="47"/>
        <v>0</v>
      </c>
      <c r="H81" s="1199"/>
      <c r="R81" s="1170"/>
      <c r="S81" s="1170"/>
    </row>
    <row r="82" spans="2:19" x14ac:dyDescent="0.35">
      <c r="B82" s="33" t="s">
        <v>109</v>
      </c>
      <c r="C82" s="1204">
        <f t="shared" si="43"/>
        <v>31.939</v>
      </c>
      <c r="D82" s="1204">
        <f t="shared" si="44"/>
        <v>56.413000000000004</v>
      </c>
      <c r="E82" s="1204">
        <f t="shared" si="45"/>
        <v>15.652999999999999</v>
      </c>
      <c r="F82" s="1204">
        <f t="shared" si="46"/>
        <v>3.9320000000000004</v>
      </c>
      <c r="G82" s="1204">
        <f t="shared" si="47"/>
        <v>-0.74299999999999988</v>
      </c>
      <c r="R82" s="1170"/>
      <c r="S82" s="1170"/>
    </row>
    <row r="83" spans="2:19" x14ac:dyDescent="0.35">
      <c r="B83" s="755" t="s">
        <v>767</v>
      </c>
      <c r="C83" s="1204">
        <f t="shared" si="43"/>
        <v>1.02</v>
      </c>
      <c r="D83" s="1204">
        <f t="shared" si="44"/>
        <v>1.5299999999999998</v>
      </c>
      <c r="E83" s="1204">
        <f t="shared" si="45"/>
        <v>0</v>
      </c>
      <c r="F83" s="1204">
        <f t="shared" si="46"/>
        <v>0</v>
      </c>
      <c r="G83" s="1204">
        <f t="shared" si="47"/>
        <v>0</v>
      </c>
      <c r="R83" s="1170"/>
      <c r="S83" s="1170"/>
    </row>
    <row r="84" spans="2:19" x14ac:dyDescent="0.35">
      <c r="B84" s="755" t="s">
        <v>768</v>
      </c>
      <c r="C84" s="1204">
        <f t="shared" si="43"/>
        <v>0.67999999999999994</v>
      </c>
      <c r="D84" s="1204">
        <f t="shared" si="44"/>
        <v>1.02</v>
      </c>
      <c r="E84" s="1204">
        <f t="shared" si="45"/>
        <v>0</v>
      </c>
      <c r="F84" s="1204">
        <f t="shared" si="46"/>
        <v>0</v>
      </c>
      <c r="G84" s="1204">
        <f t="shared" si="47"/>
        <v>0</v>
      </c>
      <c r="R84" s="1170"/>
      <c r="S84" s="1170"/>
    </row>
    <row r="85" spans="2:19" x14ac:dyDescent="0.35">
      <c r="B85" s="755" t="s">
        <v>469</v>
      </c>
      <c r="C85" s="1204">
        <f t="shared" si="43"/>
        <v>1.6999999999999997</v>
      </c>
      <c r="D85" s="1204">
        <f t="shared" si="44"/>
        <v>2.5499999999999998</v>
      </c>
      <c r="E85" s="1204">
        <f t="shared" si="45"/>
        <v>0</v>
      </c>
      <c r="F85" s="1204">
        <f t="shared" si="46"/>
        <v>0</v>
      </c>
      <c r="G85" s="1204">
        <f t="shared" si="47"/>
        <v>0</v>
      </c>
      <c r="R85" s="1170"/>
      <c r="S85" s="1170"/>
    </row>
    <row r="86" spans="2:19" x14ac:dyDescent="0.35">
      <c r="C86" s="1200">
        <v>2021</v>
      </c>
      <c r="D86" s="1200">
        <v>2022</v>
      </c>
      <c r="E86" s="1200">
        <v>2023</v>
      </c>
      <c r="F86" s="1200">
        <v>2024</v>
      </c>
      <c r="G86" s="1200">
        <v>2025</v>
      </c>
      <c r="R86" s="1170"/>
      <c r="S86" s="1170"/>
    </row>
    <row r="87" spans="2:19" x14ac:dyDescent="0.35">
      <c r="B87" s="755" t="s">
        <v>777</v>
      </c>
      <c r="C87" s="1203">
        <f>SUM(C83:C85)</f>
        <v>3.3999999999999995</v>
      </c>
      <c r="D87" s="1203">
        <f t="shared" ref="D87:G87" si="48">SUM(D83:D85)</f>
        <v>5.0999999999999996</v>
      </c>
      <c r="E87" s="1203">
        <f t="shared" si="48"/>
        <v>0</v>
      </c>
      <c r="F87" s="1203">
        <f t="shared" si="48"/>
        <v>0</v>
      </c>
      <c r="G87" s="1203">
        <f t="shared" si="48"/>
        <v>0</v>
      </c>
      <c r="R87" s="1170"/>
      <c r="S87" s="1170"/>
    </row>
    <row r="90" spans="2:19" x14ac:dyDescent="0.35">
      <c r="B90" s="755" t="s">
        <v>673</v>
      </c>
      <c r="C90" s="1204">
        <v>26.636000000000024</v>
      </c>
      <c r="D90" s="1204">
        <v>98.978999999999999</v>
      </c>
      <c r="E90" s="1204">
        <v>2.1159999999999997</v>
      </c>
      <c r="F90" s="1204">
        <v>2.1789999999999998</v>
      </c>
      <c r="G90" s="1204">
        <v>2.33</v>
      </c>
      <c r="H90" s="1204"/>
      <c r="I90" s="1204"/>
      <c r="J90" s="1204"/>
      <c r="K90" s="1204"/>
      <c r="L90" s="1204"/>
      <c r="M90" s="1204"/>
    </row>
    <row r="91" spans="2:19" x14ac:dyDescent="0.35">
      <c r="B91" s="755" t="s">
        <v>674</v>
      </c>
      <c r="C91" s="1204">
        <v>47.722000000000016</v>
      </c>
      <c r="D91" s="1204">
        <v>52.756999999999998</v>
      </c>
      <c r="E91" s="1204">
        <v>12</v>
      </c>
      <c r="F91" s="1204">
        <v>4.2219999999999995</v>
      </c>
      <c r="G91" s="1204">
        <v>2.3719999999999999</v>
      </c>
      <c r="H91" s="1204"/>
      <c r="I91" s="1204"/>
      <c r="J91" s="1204"/>
      <c r="K91" s="1204"/>
      <c r="L91" s="1204"/>
      <c r="M91" s="1204"/>
    </row>
    <row r="92" spans="2:19" x14ac:dyDescent="0.35">
      <c r="B92" s="755" t="s">
        <v>52</v>
      </c>
      <c r="C92" s="1204">
        <v>81.842999999999989</v>
      </c>
      <c r="D92" s="1204">
        <v>110.24799999999999</v>
      </c>
      <c r="E92" s="1204">
        <v>12.726000000000001</v>
      </c>
      <c r="F92" s="1204">
        <v>1.365</v>
      </c>
      <c r="G92" s="1204">
        <v>-0.90100000000000025</v>
      </c>
      <c r="H92" s="1204"/>
      <c r="I92" s="1204"/>
      <c r="J92" s="1204"/>
      <c r="K92" s="1204"/>
      <c r="L92" s="1204"/>
      <c r="M92" s="1204"/>
    </row>
    <row r="93" spans="2:19" x14ac:dyDescent="0.35">
      <c r="B93" s="755" t="s">
        <v>131</v>
      </c>
      <c r="C93" s="1204">
        <v>7.798</v>
      </c>
      <c r="D93" s="1204">
        <v>7.9489999999999998</v>
      </c>
      <c r="E93" s="1204">
        <v>4.7519999999999998</v>
      </c>
      <c r="F93" s="1204">
        <v>4.637999999999999</v>
      </c>
      <c r="G93" s="1204">
        <v>1.8800000000000001</v>
      </c>
      <c r="H93" s="1204"/>
      <c r="I93" s="1204"/>
      <c r="J93" s="1204"/>
      <c r="K93" s="1204"/>
      <c r="L93" s="1204"/>
      <c r="M93" s="1204"/>
    </row>
    <row r="94" spans="2:19" x14ac:dyDescent="0.35">
      <c r="B94" s="755" t="s">
        <v>347</v>
      </c>
      <c r="C94" s="1204">
        <v>283.95749999999998</v>
      </c>
      <c r="D94" s="1204">
        <v>77.092500000000001</v>
      </c>
      <c r="E94" s="1204">
        <v>1</v>
      </c>
      <c r="F94" s="1204">
        <v>0</v>
      </c>
      <c r="G94" s="1204">
        <v>0</v>
      </c>
      <c r="H94" s="1204"/>
      <c r="I94" s="1204"/>
      <c r="J94" s="1204"/>
      <c r="K94" s="1204"/>
      <c r="L94" s="1204"/>
      <c r="M94" s="1204"/>
    </row>
    <row r="95" spans="2:19" x14ac:dyDescent="0.35">
      <c r="B95" s="755" t="s">
        <v>150</v>
      </c>
      <c r="C95" s="1204">
        <v>12.347</v>
      </c>
      <c r="D95" s="1204">
        <v>46.79</v>
      </c>
      <c r="E95" s="1204">
        <v>38.595999999999997</v>
      </c>
      <c r="F95" s="1204">
        <v>31.911000000000001</v>
      </c>
      <c r="G95" s="1204">
        <v>23.099</v>
      </c>
      <c r="H95" s="1204"/>
      <c r="I95" s="1204"/>
      <c r="J95" s="1204"/>
      <c r="K95" s="1204"/>
      <c r="L95" s="1204"/>
      <c r="M95" s="1204"/>
    </row>
    <row r="96" spans="2:19" x14ac:dyDescent="0.35">
      <c r="B96" s="755" t="s">
        <v>363</v>
      </c>
      <c r="C96" s="1204">
        <v>2.286</v>
      </c>
      <c r="D96" s="1204">
        <v>4.6049999999999995</v>
      </c>
      <c r="E96" s="1204">
        <v>1.349</v>
      </c>
      <c r="F96" s="1204">
        <v>0.441</v>
      </c>
      <c r="G96" s="1204">
        <v>0.313</v>
      </c>
      <c r="H96" s="1204"/>
      <c r="I96" s="1204"/>
      <c r="J96" s="1204"/>
      <c r="K96" s="1204"/>
      <c r="L96" s="1204"/>
      <c r="M96" s="1204"/>
    </row>
    <row r="97" spans="2:13" x14ac:dyDescent="0.35">
      <c r="B97" s="755" t="s">
        <v>159</v>
      </c>
      <c r="C97" s="1204">
        <v>25.75</v>
      </c>
      <c r="D97" s="1204">
        <v>0</v>
      </c>
      <c r="E97" s="1204">
        <v>0</v>
      </c>
      <c r="F97" s="1204">
        <v>0</v>
      </c>
      <c r="G97" s="1204">
        <v>0</v>
      </c>
      <c r="H97" s="1204"/>
      <c r="I97" s="1204"/>
      <c r="J97" s="1204"/>
      <c r="K97" s="1204"/>
      <c r="L97" s="1204"/>
      <c r="M97" s="1204"/>
    </row>
    <row r="98" spans="2:13" x14ac:dyDescent="0.35">
      <c r="B98" s="755" t="s">
        <v>109</v>
      </c>
      <c r="C98" s="1204">
        <v>60.441000000000003</v>
      </c>
      <c r="D98" s="1204">
        <v>91.678999999999988</v>
      </c>
      <c r="E98" s="1204">
        <v>41.220000000000006</v>
      </c>
      <c r="F98" s="1204">
        <v>14.004000000000003</v>
      </c>
      <c r="G98" s="1204">
        <v>3.8530000000000006</v>
      </c>
      <c r="H98" s="1204"/>
      <c r="I98" s="1204"/>
      <c r="J98" s="1204"/>
      <c r="K98" s="1204"/>
      <c r="L98" s="1204"/>
      <c r="M98" s="1204"/>
    </row>
    <row r="99" spans="2:13" x14ac:dyDescent="0.35">
      <c r="C99" s="1200">
        <v>3.4</v>
      </c>
      <c r="D99" s="1200">
        <v>5.0999999999999996</v>
      </c>
      <c r="E99" s="1200">
        <v>0</v>
      </c>
      <c r="F99" s="1200">
        <v>0</v>
      </c>
    </row>
  </sheetData>
  <pageMargins left="0.7" right="0.7" top="0.75" bottom="0.75" header="0.3" footer="0.3"/>
  <pageSetup paperSize="9" orientation="portrait"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Medicaid (2)</vt: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2025-08-01T14:38:02Z</dcterms:modified>
  <cp:category/>
  <cp:contentStatus/>
</cp:coreProperties>
</file>